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2" windowWidth="12144" windowHeight="6588" tabRatio="853" firstSheet="8" activeTab="8"/>
  </bookViews>
  <sheets>
    <sheet name="Table3" sheetId="1" r:id="rId1"/>
    <sheet name="Chem_stats" sheetId="2" r:id="rId2"/>
    <sheet name="Q_monthly_by_region" sheetId="3" r:id="rId3"/>
    <sheet name="Comparison_w_USGS" sheetId="4" r:id="rId4"/>
    <sheet name="Flow_wt_each_stream" sheetId="5" r:id="rId5"/>
    <sheet name="Loads" sheetId="6" r:id="rId6"/>
    <sheet name="Table_for_paper (2)" sheetId="7" r:id="rId7"/>
    <sheet name="Table_for_paper" sheetId="8" r:id="rId8"/>
    <sheet name="Flow_weighted" sheetId="9" r:id="rId9"/>
    <sheet name="Sheet3" sheetId="10" r:id="rId10"/>
    <sheet name="Pop_landcover_effects_on_DIN" sheetId="11" r:id="rId11"/>
    <sheet name="Cycle of C and N" sheetId="12" r:id="rId12"/>
    <sheet name="wshed_char_unis_excluded" sheetId="13" r:id="rId13"/>
    <sheet name="rainwater_summary" sheetId="14" r:id="rId14"/>
  </sheets>
  <definedNames>
    <definedName name="_xlnm.Print_Area" localSheetId="11">'Cycle of C and N'!$A$1:$BJ$25</definedName>
  </definedNames>
  <calcPr fullCalcOnLoad="1"/>
</workbook>
</file>

<file path=xl/sharedStrings.xml><?xml version="1.0" encoding="utf-8"?>
<sst xmlns="http://schemas.openxmlformats.org/spreadsheetml/2006/main" count="2352" uniqueCount="805">
  <si>
    <t>WA14</t>
  </si>
  <si>
    <t>SiteID</t>
  </si>
  <si>
    <t>Year</t>
  </si>
  <si>
    <t>Inorg. N</t>
  </si>
  <si>
    <t>HOH Rainwater Loading Rates kg/ha</t>
  </si>
  <si>
    <t>Inorg. N as N</t>
  </si>
  <si>
    <t>NH4 as N kg/ha</t>
  </si>
  <si>
    <t>NO3 as N kg/ha</t>
  </si>
  <si>
    <t>La Grande</t>
  </si>
  <si>
    <t>Mt Rainier Tahoma Woods</t>
  </si>
  <si>
    <t>Marblemount</t>
  </si>
  <si>
    <t>MEAN</t>
  </si>
  <si>
    <t>STD</t>
  </si>
  <si>
    <t>Mean of the 4 mean DIN wet loading rates</t>
  </si>
  <si>
    <t>ST dev of the 4 mean DIN wet loading rates</t>
  </si>
  <si>
    <t>Adding the Mean DIN wet loading rate to the mean dryfall DIN rate</t>
  </si>
  <si>
    <t>kg/ha DIN dry and wet fall</t>
  </si>
  <si>
    <t>EDU&gt;&gt;</t>
  </si>
  <si>
    <t>[a,b,c,d]=stepwisefit(popdmf(find(zscore(area_norm_load(:,14))&lt;3),:),area_norm_load(find(zscore(area_norm_load(:,14))&lt;3),14))</t>
  </si>
  <si>
    <t>Initial</t>
  </si>
  <si>
    <t>columns</t>
  </si>
  <si>
    <t>included:</t>
  </si>
  <si>
    <t>none</t>
  </si>
  <si>
    <t>Step</t>
  </si>
  <si>
    <t>1,</t>
  </si>
  <si>
    <t>added</t>
  </si>
  <si>
    <t>column</t>
  </si>
  <si>
    <t>p=0.00291283</t>
  </si>
  <si>
    <t>Final</t>
  </si>
  <si>
    <t>'Coeff'</t>
  </si>
  <si>
    <t>'Std.Err.'</t>
  </si>
  <si>
    <t>'Status'</t>
  </si>
  <si>
    <t>'P'</t>
  </si>
  <si>
    <t>[0.8589]</t>
  </si>
  <si>
    <t>[</t>
  </si>
  <si>
    <t>0.2709]</t>
  </si>
  <si>
    <t>'In'</t>
  </si>
  <si>
    <t>[0.0029]</t>
  </si>
  <si>
    <t>[0.0199]</t>
  </si>
  <si>
    <t>0.0109]</t>
  </si>
  <si>
    <t>'Out'</t>
  </si>
  <si>
    <t>[0.0770]</t>
  </si>
  <si>
    <t>Area normalized loading rate regression equation is above….DMF had no significant effect….Population Density had effect</t>
  </si>
  <si>
    <t>kg/ha/year effect of Population density (A multiple regression of Pop density and DMF VS DIN loading rate (kg/ha/yr)…)</t>
  </si>
  <si>
    <t>Load Due to Population density based on column AI</t>
  </si>
  <si>
    <t>Expected Annual DIN load from unsampled area with area_loading rate above</t>
  </si>
  <si>
    <t>Population Density Load from sampled catchments</t>
  </si>
  <si>
    <t>Population Effect on DIN from areal loading rate regression</t>
  </si>
  <si>
    <t>Intercept Load from sampled catchments</t>
  </si>
  <si>
    <t>Total Predicted Load DIN =</t>
  </si>
  <si>
    <t>LogPop Density Coef</t>
  </si>
  <si>
    <t>Intercept</t>
  </si>
  <si>
    <t>DMF not significant</t>
  </si>
  <si>
    <t>(0.3115  1.406)</t>
  </si>
  <si>
    <t>(.278 1.384)</t>
  </si>
  <si>
    <t>X= Pop density, DMF</t>
  </si>
  <si>
    <t>Y = DIN area normalized loading rate (kg/ha/yr)</t>
  </si>
  <si>
    <t>R2 = .20</t>
  </si>
  <si>
    <t>n=42 (DEVE excluded for having a DIN loading rate zscore of &gt;3.5)</t>
  </si>
  <si>
    <t>Count load if it is a tributary</t>
  </si>
  <si>
    <t>(Bias is non-zero because DEVE was excluded from regression)</t>
  </si>
  <si>
    <t>Population effect :</t>
  </si>
  <si>
    <t>Rescaled Loads to Correct for bias</t>
  </si>
  <si>
    <t>Log Populaiton Dneisty efefcts</t>
  </si>
  <si>
    <t>The trouble is that the intercept is negative 111 tons, so DMF and Log Population Density loads sum to greater almost 550 to 600 MT</t>
  </si>
  <si>
    <t>From the multiple regression on concentrations</t>
  </si>
  <si>
    <t>Lower Confidence Int</t>
  </si>
  <si>
    <t>Upper Confidence Int</t>
  </si>
  <si>
    <t>Total (DMF + Pop+Intercept…)</t>
  </si>
  <si>
    <t>p=.002</t>
  </si>
  <si>
    <t>DIN loads</t>
  </si>
  <si>
    <t>PN loads</t>
  </si>
  <si>
    <t>POC  loads</t>
  </si>
  <si>
    <t>TN loads</t>
  </si>
  <si>
    <t>TOC loads</t>
  </si>
  <si>
    <t>TON loads</t>
  </si>
  <si>
    <t>DIN  kg/ha/yr</t>
  </si>
  <si>
    <t>PN  kg/ha/yr</t>
  </si>
  <si>
    <t>POC  kg/ha/yr</t>
  </si>
  <si>
    <t>TN  kg/ha/yr</t>
  </si>
  <si>
    <t>TOC kg/ha/yr</t>
  </si>
  <si>
    <t>TON  kg/ha/yr</t>
  </si>
  <si>
    <t>TON fraction of TN</t>
  </si>
  <si>
    <t>Monthly TOC:TON mass ratio</t>
  </si>
  <si>
    <t>be 421±162 metric tonnes/year, the regional groundwater was estimated at 56±30 metric tonnes/year, and near-shore septic systems were estimated to contribute 28±15 metric tonnes/year, and direct atmospheric loading  to Hood Canal was estimated at 30±11 me</t>
  </si>
  <si>
    <t>Flow - Weighted Mean Concentration (ug/L N): All Hood Canal tributaries</t>
  </si>
  <si>
    <t xml:space="preserve">  Annual Loads (2005)</t>
  </si>
  <si>
    <t xml:space="preserve">  Annual Loads (2006)</t>
  </si>
  <si>
    <t>% Difference between 2005 and 2006 (2006 minus 2005 load...divided by their average)</t>
  </si>
  <si>
    <t>cfs dift</t>
  </si>
  <si>
    <t>%cfs dift</t>
  </si>
  <si>
    <t>Total Freshwater Discharge</t>
  </si>
  <si>
    <t xml:space="preserve">2005 - 2006 Average </t>
  </si>
  <si>
    <t>monthly PN% of TDN</t>
  </si>
  <si>
    <t>PN % of TN</t>
  </si>
  <si>
    <t>monthhly TON% of TN</t>
  </si>
  <si>
    <t>POC % of TOC</t>
  </si>
  <si>
    <t>Mt Crag Snotel Peak Snow Water Equivalent (inches)</t>
  </si>
  <si>
    <t>Difference (2006 - 2005) 
(difference as percentage of 2005 - 06 average)</t>
  </si>
  <si>
    <t xml:space="preserve">Table X.  Comparison of annual loads during a dry (2005) and wet (2006) calendar year.  </t>
  </si>
  <si>
    <t>Monthly POC:PN mass ratio</t>
  </si>
  <si>
    <t>month.data(:,:,10);pocm=ans(:);month.data(:,:,11);pnm=ans(:);kk=find(~isnan(pnm)&amp;~isnan(pocm)</t>
  </si>
  <si>
    <t>&amp;</t>
  </si>
  <si>
    <t>((pnm-nanmean(pnm))./nanstd(pnm))&lt;3</t>
  </si>
  <si>
    <t>((pocm-nanmean(pocm))./nanstd(pocm))&lt;3);[aa,bb,cc,dd]=fit(pnm(kk),pocm(kk),'poly1')</t>
  </si>
  <si>
    <t>Linear</t>
  </si>
  <si>
    <t>model</t>
  </si>
  <si>
    <t>Poly1:</t>
  </si>
  <si>
    <t>+</t>
  </si>
  <si>
    <t>p2</t>
  </si>
  <si>
    <t>Coefficients</t>
  </si>
  <si>
    <t>(with</t>
  </si>
  <si>
    <t>confidence</t>
  </si>
  <si>
    <t>bounds):</t>
  </si>
  <si>
    <t>p1</t>
  </si>
  <si>
    <t>(6.86,</t>
  </si>
  <si>
    <t>7.527)</t>
  </si>
  <si>
    <t>(84.48,</t>
  </si>
  <si>
    <t>119.9)</t>
  </si>
  <si>
    <t>bb</t>
  </si>
  <si>
    <t>sse:</t>
  </si>
  <si>
    <t>rsquare:</t>
  </si>
  <si>
    <t>dfe:</t>
  </si>
  <si>
    <t>adjrsquare:</t>
  </si>
  <si>
    <t>rmse:</t>
  </si>
  <si>
    <t>cc</t>
  </si>
  <si>
    <t>numobs:</t>
  </si>
  <si>
    <t>numparam:</t>
  </si>
  <si>
    <t>residuals:</t>
  </si>
  <si>
    <t>[597x1</t>
  </si>
  <si>
    <t>double]</t>
  </si>
  <si>
    <t>Jacobian:</t>
  </si>
  <si>
    <t>[597x2</t>
  </si>
  <si>
    <t>exitflag:</t>
  </si>
  <si>
    <t>algorithm:</t>
  </si>
  <si>
    <t>'QR</t>
  </si>
  <si>
    <t>factorization</t>
  </si>
  <si>
    <t>solve'</t>
  </si>
  <si>
    <t>iterations:</t>
  </si>
  <si>
    <t>POC PN regression….excluded any POC or PON with zscore&gt;3)</t>
  </si>
  <si>
    <t>POC(x)</t>
  </si>
  <si>
    <t>p1*PN</t>
  </si>
  <si>
    <t>DOC</t>
  </si>
  <si>
    <t>TDN</t>
  </si>
  <si>
    <t>NO3</t>
  </si>
  <si>
    <t>NH4</t>
  </si>
  <si>
    <t>NO2</t>
  </si>
  <si>
    <t>PO4</t>
  </si>
  <si>
    <t>SIO4</t>
  </si>
  <si>
    <t>'Skokomish River'</t>
  </si>
  <si>
    <t>'DOC'</t>
  </si>
  <si>
    <t>'DON'</t>
  </si>
  <si>
    <t>'TDN'</t>
  </si>
  <si>
    <t>'NO3'</t>
  </si>
  <si>
    <t>'NH4'</t>
  </si>
  <si>
    <t>'NO2'</t>
  </si>
  <si>
    <t>'PO4'</t>
  </si>
  <si>
    <t>'SIO4'</t>
  </si>
  <si>
    <t>DOC:DON molar ratio</t>
  </si>
  <si>
    <t>NO3% of TDN load</t>
  </si>
  <si>
    <t>DON% of TDN load</t>
  </si>
  <si>
    <t>NO2%of TDN load</t>
  </si>
  <si>
    <t>NH4%of TDN load</t>
  </si>
  <si>
    <t>2 Year Flow -weighted average ug/L</t>
  </si>
  <si>
    <t>DON</t>
  </si>
  <si>
    <t>SRP</t>
  </si>
  <si>
    <t>2 -year flow weighted conc (ug/L_</t>
  </si>
  <si>
    <t xml:space="preserve">Alderbrook          </t>
  </si>
  <si>
    <t xml:space="preserve">Big Anderson        </t>
  </si>
  <si>
    <t xml:space="preserve">Big Beef            </t>
  </si>
  <si>
    <t xml:space="preserve">Big Bend            </t>
  </si>
  <si>
    <t xml:space="preserve">Big Quilcene        </t>
  </si>
  <si>
    <t xml:space="preserve">Devereaux           </t>
  </si>
  <si>
    <t xml:space="preserve">Dewatto             </t>
  </si>
  <si>
    <t xml:space="preserve">Dosewallips         </t>
  </si>
  <si>
    <t xml:space="preserve">Duckabush           </t>
  </si>
  <si>
    <t xml:space="preserve">Eagle               </t>
  </si>
  <si>
    <t xml:space="preserve">Enati Down          </t>
  </si>
  <si>
    <t xml:space="preserve">Enati Upstream      </t>
  </si>
  <si>
    <t xml:space="preserve">Finch               </t>
  </si>
  <si>
    <t xml:space="preserve">Finch Upstream      </t>
  </si>
  <si>
    <t xml:space="preserve">Fulton              </t>
  </si>
  <si>
    <t xml:space="preserve">Hamma Hamma         </t>
  </si>
  <si>
    <t xml:space="preserve">Happy Hollow        </t>
  </si>
  <si>
    <t xml:space="preserve">Hill                </t>
  </si>
  <si>
    <t xml:space="preserve">Holyoke             </t>
  </si>
  <si>
    <t xml:space="preserve">Jorsted             </t>
  </si>
  <si>
    <t xml:space="preserve">Lake Kokanee        </t>
  </si>
  <si>
    <t xml:space="preserve">Lilliwaup           </t>
  </si>
  <si>
    <t xml:space="preserve">Little Mission      </t>
  </si>
  <si>
    <t xml:space="preserve">Little Quilcene     </t>
  </si>
  <si>
    <t xml:space="preserve">Skokomish           </t>
  </si>
  <si>
    <t xml:space="preserve">Miller              </t>
  </si>
  <si>
    <t xml:space="preserve">Mission             </t>
  </si>
  <si>
    <t xml:space="preserve">Mulberg             </t>
  </si>
  <si>
    <t>North Fork Skokomish</t>
  </si>
  <si>
    <t xml:space="preserve">Seabeck             </t>
  </si>
  <si>
    <t xml:space="preserve">Skabob              </t>
  </si>
  <si>
    <t xml:space="preserve">Stavis              </t>
  </si>
  <si>
    <t xml:space="preserve">Stimson             </t>
  </si>
  <si>
    <t xml:space="preserve">Tahuya              </t>
  </si>
  <si>
    <t xml:space="preserve">Tarboo              </t>
  </si>
  <si>
    <t xml:space="preserve">Twanoh Falls        </t>
  </si>
  <si>
    <t xml:space="preserve">Thorndyke           </t>
  </si>
  <si>
    <t xml:space="preserve">Trails End          </t>
  </si>
  <si>
    <t xml:space="preserve">Twanoh              </t>
  </si>
  <si>
    <t xml:space="preserve">Union               </t>
  </si>
  <si>
    <t xml:space="preserve">Union Store         </t>
  </si>
  <si>
    <t xml:space="preserve">Unnamed             </t>
  </si>
  <si>
    <t xml:space="preserve">Wacketickeh         </t>
  </si>
  <si>
    <t>DON% of TDN</t>
  </si>
  <si>
    <t>NO3% of TDN</t>
  </si>
  <si>
    <t>NH4%of TDN</t>
  </si>
  <si>
    <t>NO2% of TDN</t>
  </si>
  <si>
    <t>SUMMARY</t>
  </si>
  <si>
    <t>Std Dev</t>
  </si>
  <si>
    <t>Median</t>
  </si>
  <si>
    <t>Area Normalized Loading Rate (kg/ha/yr)</t>
  </si>
  <si>
    <t>Watershed Area m2</t>
  </si>
  <si>
    <t>January</t>
  </si>
  <si>
    <t>February</t>
  </si>
  <si>
    <t>March</t>
  </si>
  <si>
    <t>April</t>
  </si>
  <si>
    <t>May</t>
  </si>
  <si>
    <t>June</t>
  </si>
  <si>
    <t>July</t>
  </si>
  <si>
    <t>August</t>
  </si>
  <si>
    <t>September</t>
  </si>
  <si>
    <t>October</t>
  </si>
  <si>
    <t>November</t>
  </si>
  <si>
    <t>December</t>
  </si>
  <si>
    <t>mean 05 06 flow cfs</t>
  </si>
  <si>
    <t>area m2</t>
  </si>
  <si>
    <t>DOC kg/ha/yr</t>
  </si>
  <si>
    <t>DON kg/ha/yr</t>
  </si>
  <si>
    <t>TDN kg/ha/yr</t>
  </si>
  <si>
    <t>NO3 kg/ha/yr</t>
  </si>
  <si>
    <t>NH4  kg/ha/yr</t>
  </si>
  <si>
    <t>NO2  kg/ha/yr</t>
  </si>
  <si>
    <t>SRP  kg/ha/yr</t>
  </si>
  <si>
    <t>SIO4  kg/ha/yr</t>
  </si>
  <si>
    <t>Mean (Arithmetic…not weighted)</t>
  </si>
  <si>
    <t>%of load from a region</t>
  </si>
  <si>
    <t>WHOLE WATER SHED FLOW_WEIGHTED MONTHLY CONCENTRATIONS for each constituent ug/L</t>
  </si>
  <si>
    <t>monthly NO3% of TDN</t>
  </si>
  <si>
    <t>monthly NH4% of TDN</t>
  </si>
  <si>
    <t>monthly NO2% of TDN</t>
  </si>
  <si>
    <t>monthly DON% of TDN</t>
  </si>
  <si>
    <t>monthly DOC:DON molar ratio</t>
  </si>
  <si>
    <t>Constituent</t>
  </si>
  <si>
    <t>Region</t>
  </si>
  <si>
    <t xml:space="preserve"> Average Annual Loads (2005+2006)/2 Met Tonnes</t>
  </si>
  <si>
    <t>monthly NO3% of DIN</t>
  </si>
  <si>
    <t>'Diversion from N Fork Skokomish'</t>
  </si>
  <si>
    <t>'Sampled Kitsap/Lowland Watersheds'</t>
  </si>
  <si>
    <t>'Unsampled Kitsap/Lowland Watersheds'</t>
  </si>
  <si>
    <t>'Other Olympic Mountain Rivers'</t>
  </si>
  <si>
    <t>Correleations in Time</t>
  </si>
  <si>
    <t>p values for the correlation matrix</t>
  </si>
  <si>
    <t>Stoichiometry</t>
  </si>
  <si>
    <t>C</t>
  </si>
  <si>
    <t>N</t>
  </si>
  <si>
    <t>Si</t>
  </si>
  <si>
    <t>P</t>
  </si>
  <si>
    <t>molar docC :tdN Ratio</t>
  </si>
  <si>
    <t>DOC ug/L</t>
  </si>
  <si>
    <t>DON ug/L</t>
  </si>
  <si>
    <t>TDN  ug/L</t>
  </si>
  <si>
    <t>NO3  ug/L</t>
  </si>
  <si>
    <t>NH4   ug/L</t>
  </si>
  <si>
    <t>NO2   ug/L</t>
  </si>
  <si>
    <t>SRP ug/L</t>
  </si>
  <si>
    <t>SIO4   ug/L</t>
  </si>
  <si>
    <t>Watersehed CO2 Flux Met Tons/Year</t>
  </si>
  <si>
    <t>Watershed OM</t>
  </si>
  <si>
    <t>H Canal Watershed Soil C- Met Tons</t>
  </si>
  <si>
    <t>H Canal Watershed Soil N Met TOns</t>
  </si>
  <si>
    <t>&gt; Second growth DF (ages 21-41):  mean 64,890 kg/ha</t>
  </si>
  <si>
    <t>&gt; Soil O horizon:  mean 25,630 kg/ha</t>
  </si>
  <si>
    <t>&gt;</t>
  </si>
  <si>
    <t>Numbers from Cindy Flint: (mean of 7 sites on private timberland…)</t>
  </si>
  <si>
    <t>DOC streamflow</t>
  </si>
  <si>
    <t>POC streamflow</t>
  </si>
  <si>
    <t>Total Mineral Soil Carbon(0 - 2 m)</t>
  </si>
  <si>
    <r>
      <t>Soil Respiration</t>
    </r>
    <r>
      <rPr>
        <b/>
        <vertAlign val="subscript"/>
        <sz val="11"/>
        <rFont val="Arial"/>
        <family val="2"/>
      </rPr>
      <t>a</t>
    </r>
  </si>
  <si>
    <r>
      <t>Litter Layer</t>
    </r>
    <r>
      <rPr>
        <b/>
        <vertAlign val="subscript"/>
        <sz val="10"/>
        <rFont val="Arial"/>
        <family val="2"/>
      </rPr>
      <t>b</t>
    </r>
    <r>
      <rPr>
        <b/>
        <sz val="10"/>
        <rFont val="Arial"/>
        <family val="2"/>
      </rPr>
      <t xml:space="preserve"> </t>
    </r>
  </si>
  <si>
    <r>
      <t>Plant biomass</t>
    </r>
    <r>
      <rPr>
        <b/>
        <vertAlign val="subscript"/>
        <sz val="10"/>
        <rFont val="Arial"/>
        <family val="2"/>
      </rPr>
      <t>b</t>
    </r>
    <r>
      <rPr>
        <b/>
        <sz val="10"/>
        <rFont val="Arial"/>
        <family val="2"/>
      </rPr>
      <t xml:space="preserve"> </t>
    </r>
  </si>
  <si>
    <r>
      <t>b</t>
    </r>
    <r>
      <rPr>
        <sz val="10"/>
        <rFont val="Arial"/>
        <family val="2"/>
      </rPr>
      <t xml:space="preserve"> - Plant biomass and litter layer estimates from 7 sites in watershed with 21 - 40 year-old, second growth Douglas-fir forest cover (Flint, CM, Master's Thesis).  Plant and litter layer estimates are for this common forest type in the region, but do not necessarily represent watershed mean conditions.</t>
    </r>
  </si>
  <si>
    <t>Total Mineral Soil N (0 - 2 m)</t>
  </si>
  <si>
    <t>Lake Kokanee</t>
  </si>
  <si>
    <t>Kitsap</t>
  </si>
  <si>
    <r>
      <t>a</t>
    </r>
    <r>
      <rPr>
        <sz val="10"/>
        <rFont val="Arial"/>
        <family val="2"/>
      </rPr>
      <t xml:space="preserve"> - Estimated for Hood Canal watershed using Kane et al. (Citation) regression for elevation effects on soil respiration at NE Olympic Peninsula sites</t>
    </r>
  </si>
  <si>
    <t>S_CEC_MA</t>
  </si>
  <si>
    <t>S_CEC_MN</t>
  </si>
  <si>
    <t>S_PH_MI</t>
  </si>
  <si>
    <t>S_PH_MA</t>
  </si>
  <si>
    <t>S_PH_MN</t>
  </si>
  <si>
    <t>S_CL_MI</t>
  </si>
  <si>
    <t>S_CL_MA</t>
  </si>
  <si>
    <t>S_CL_MN</t>
  </si>
  <si>
    <t>S_BD_MI</t>
  </si>
  <si>
    <t>S_BD_MA</t>
  </si>
  <si>
    <t>S_BD_MN</t>
  </si>
  <si>
    <t>S_HYC_MI</t>
  </si>
  <si>
    <t>S_HYC_MA</t>
  </si>
  <si>
    <t>S_HYC_MN</t>
  </si>
  <si>
    <t>S_AWC_MI</t>
  </si>
  <si>
    <t>S_AWC_MA</t>
  </si>
  <si>
    <t>S_AWC_MN</t>
  </si>
  <si>
    <t>S_OM_MI</t>
  </si>
  <si>
    <t>S_OM_MA</t>
  </si>
  <si>
    <t>S_OM_MN</t>
  </si>
  <si>
    <t>M_CEC_MI</t>
  </si>
  <si>
    <t>M_CEC_MA</t>
  </si>
  <si>
    <t>M_CEC_MN</t>
  </si>
  <si>
    <t>M_PH_MI</t>
  </si>
  <si>
    <t>M_PH_MA</t>
  </si>
  <si>
    <t>M_PH_MN</t>
  </si>
  <si>
    <t>M_CL_MI</t>
  </si>
  <si>
    <t>M_CL_MA</t>
  </si>
  <si>
    <t>M_CL_MN</t>
  </si>
  <si>
    <t>M_BD_MI</t>
  </si>
  <si>
    <t>M_BD_MA</t>
  </si>
  <si>
    <t>M_BD_MN</t>
  </si>
  <si>
    <t>M_HYC_MI</t>
  </si>
  <si>
    <t>M_HYC_MA</t>
  </si>
  <si>
    <t>M_HYC_MN</t>
  </si>
  <si>
    <t>M_AWC_MI</t>
  </si>
  <si>
    <t>M_AWC_MA</t>
  </si>
  <si>
    <t>M_AWC_MN</t>
  </si>
  <si>
    <t>M_OM_MI</t>
  </si>
  <si>
    <t>M_OM_MA</t>
  </si>
  <si>
    <t>M_OM_MN</t>
  </si>
  <si>
    <t>D_CEC_MI</t>
  </si>
  <si>
    <t>D_CEC_MA</t>
  </si>
  <si>
    <t>D_CEC_MN</t>
  </si>
  <si>
    <t>D_PH_MI</t>
  </si>
  <si>
    <t>D_PH_MA</t>
  </si>
  <si>
    <t>D_PH_MN</t>
  </si>
  <si>
    <t>D_CL_MI</t>
  </si>
  <si>
    <t>D_CL_MA</t>
  </si>
  <si>
    <t>D_CL_MN</t>
  </si>
  <si>
    <t>D_BD_MI</t>
  </si>
  <si>
    <t>D_BD_MA</t>
  </si>
  <si>
    <t>D_BD_MN</t>
  </si>
  <si>
    <t>D_HYC_MI</t>
  </si>
  <si>
    <t>D_HYC_MA</t>
  </si>
  <si>
    <t>D_HYC_MN</t>
  </si>
  <si>
    <t>D_AWC_MI</t>
  </si>
  <si>
    <t>D_AWC_MA</t>
  </si>
  <si>
    <t>D_AWC_MN</t>
  </si>
  <si>
    <t>D_OM_MI</t>
  </si>
  <si>
    <t>D_OM_MA</t>
  </si>
  <si>
    <t>D_OM_MN</t>
  </si>
  <si>
    <t>TO_OM_MI</t>
  </si>
  <si>
    <t>TO_OM_MA</t>
  </si>
  <si>
    <t>TO_OM_MN</t>
  </si>
  <si>
    <t>TO_CEC_MI</t>
  </si>
  <si>
    <t>TO_CEC_M_1</t>
  </si>
  <si>
    <t>TO_CEC_MN</t>
  </si>
  <si>
    <t>Total PercenClay (Mean)…12*surf+24*mid+24*deep….summed…divided by 60</t>
  </si>
  <si>
    <t>Mapped_Area_m2</t>
  </si>
  <si>
    <t>Watershed Area</t>
  </si>
  <si>
    <t>%Watershed Area with Soils Data</t>
  </si>
  <si>
    <t>Mapped_m2 Andic/Andisol Soils (Volcanic Influence)</t>
  </si>
  <si>
    <t>Mapped_m2 Aquic Soils (Wetland Mineral Soils)</t>
  </si>
  <si>
    <t>Mapped_m2 Indurated Soils (Glacial Till)</t>
  </si>
  <si>
    <t>Mapped_m2 Entisol/Inceptisol (Weak Developed Soils and Human influenced soils)</t>
  </si>
  <si>
    <t>Mapped_m2 Histosols/Histic Soils (Deep Organic Soils)</t>
  </si>
  <si>
    <t>Mapped_m2 Riverwash/Water</t>
  </si>
  <si>
    <t>Mapped_m2 Rock_Outcrop</t>
  </si>
  <si>
    <t>Mapped_m2 Spodosol</t>
  </si>
  <si>
    <t>%Andic/Andisol Soils (Volcanic Influence)</t>
  </si>
  <si>
    <t>%Aquic Soils (Wetland Mineral Soils)</t>
  </si>
  <si>
    <t>%Indurated Soils (Glacial Till)</t>
  </si>
  <si>
    <t>%Entisol/Inceptisol (Weak Developed Soils and Human influenced soils)</t>
  </si>
  <si>
    <t>%Histosols/Histic Soils (Deep Organic Soils)</t>
  </si>
  <si>
    <t>%Riverwash/Water</t>
  </si>
  <si>
    <t>%Rock_Outcrop</t>
  </si>
  <si>
    <t>%Spodosol</t>
  </si>
  <si>
    <t>% Hydric Soils</t>
  </si>
  <si>
    <t>Watershed Soil OM _min  Met. Tons (soil=surface 60 inches)</t>
  </si>
  <si>
    <t>Watershed Soil OM _max Met. Tons  (soil=surface 60 inches)</t>
  </si>
  <si>
    <t>Watershed Soil OM _mean Met. Tons OM (soil=surf 60 inches)</t>
  </si>
  <si>
    <t>Soil Water_Capacity-Inches - (i.e. Cubic Inches/square inch land area) - min</t>
  </si>
  <si>
    <t>Soil Water_Capacity-Inches - (i.e. Cubic Inches/square inch land area) max</t>
  </si>
  <si>
    <t>Soil Water_Capacity-Inches - (i.e. Cubic Inches/square inch land area) mean</t>
  </si>
  <si>
    <t>Watershed Soil Water_Capacity-Cubic Meters (Av. Wat. Capac. Of the surface 60 in * watershed area) min</t>
  </si>
  <si>
    <t>Watershed Soil Water_Capacity-Cubic Meters (Av. Wat. Capac. Of the surface 60 in * watershed area) max</t>
  </si>
  <si>
    <t>Watershed Soil Water_Capacity-Cubic Meters (Av. Wat. Capac. Of the surface 60 in * watershed area) mean</t>
  </si>
  <si>
    <t>Watershed Soil Cation Ex Capacity in equivalents min</t>
  </si>
  <si>
    <t>Watershed Soil Cation Ex Capacity in equivalents max</t>
  </si>
  <si>
    <t>Watershed Soil Cation Ex Capacity in equivalents mean</t>
  </si>
  <si>
    <t>Mean Elevation</t>
  </si>
  <si>
    <t>Mean Slope (%)</t>
  </si>
  <si>
    <t>Bare Ground / Clearcut</t>
  </si>
  <si>
    <t>Grass / Shrubs / Crops / Early Regrowth</t>
  </si>
  <si>
    <t>Marsh / Wetland / Shoreline / Shallow Water</t>
  </si>
  <si>
    <t>Deciduous / Mixed Forest</t>
  </si>
  <si>
    <t>Water</t>
  </si>
  <si>
    <t>Mature Coniferous Forest</t>
  </si>
  <si>
    <t>Young Coniferous Forest</t>
  </si>
  <si>
    <t>Snow/Ice</t>
  </si>
  <si>
    <t>Cloud</t>
  </si>
  <si>
    <t>Open Forest / Regrowth</t>
  </si>
  <si>
    <t>Sub-Alpine Forest</t>
  </si>
  <si>
    <t>Low Density Urban</t>
  </si>
  <si>
    <t>High Density Urban</t>
  </si>
  <si>
    <t>Cloud Shadow</t>
  </si>
  <si>
    <t>TOTAL WATERSHED POPULATION</t>
  </si>
  <si>
    <t>Shore</t>
  </si>
  <si>
    <t>Shoredetail</t>
  </si>
  <si>
    <t>Discharges directly to Hood Canal?? (i.e. Is not a tributary of another sample location)</t>
  </si>
  <si>
    <t>Class (0=Dam Affected, 1=Kitsap/Lowland, 2=Olympic)</t>
  </si>
  <si>
    <t>Is a Kitsap/Lowland Stream and is a direct trib to H canal</t>
  </si>
  <si>
    <t>Is an Olympic Stream and is a direct trib to H canal</t>
  </si>
  <si>
    <t>Is Dam Affected and Discharges to Hood Canal (Just L Cushman Discharge and Skokomish)</t>
  </si>
  <si>
    <t>Watershed mean soil CO2 efflux (kg C per m2 per yr) from Kane et al's regression for elevation effects on soil resp</t>
  </si>
  <si>
    <t>Watershed annual soil CO2 efflux = area * column just to the left - Metric Tonnes per year</t>
  </si>
  <si>
    <t>Population Density: people/km2 wshed area</t>
  </si>
  <si>
    <t xml:space="preserve">ALDE </t>
  </si>
  <si>
    <t>Alderbrook</t>
  </si>
  <si>
    <t>S</t>
  </si>
  <si>
    <t>Lynch</t>
  </si>
  <si>
    <t xml:space="preserve">BAND </t>
  </si>
  <si>
    <t>Big Anderson</t>
  </si>
  <si>
    <t>E</t>
  </si>
  <si>
    <t xml:space="preserve">BBEE </t>
  </si>
  <si>
    <t>Big Beef</t>
  </si>
  <si>
    <t xml:space="preserve">BBEN </t>
  </si>
  <si>
    <t>Big Bend</t>
  </si>
  <si>
    <t xml:space="preserve">BQUI </t>
  </si>
  <si>
    <t>Big Quilcene</t>
  </si>
  <si>
    <t>NW</t>
  </si>
  <si>
    <t>Dabob</t>
  </si>
  <si>
    <t xml:space="preserve">DEVE </t>
  </si>
  <si>
    <t>Devereaux</t>
  </si>
  <si>
    <t xml:space="preserve">DEWA </t>
  </si>
  <si>
    <t>Dewatto</t>
  </si>
  <si>
    <t xml:space="preserve">DOSE </t>
  </si>
  <si>
    <t>Dosewallips</t>
  </si>
  <si>
    <t>W</t>
  </si>
  <si>
    <t xml:space="preserve">DUCK </t>
  </si>
  <si>
    <t>Duckabush</t>
  </si>
  <si>
    <t xml:space="preserve">EAGL </t>
  </si>
  <si>
    <t>Eagle</t>
  </si>
  <si>
    <t>EANTD</t>
  </si>
  <si>
    <t>Enati Down</t>
  </si>
  <si>
    <t>EANTU</t>
  </si>
  <si>
    <t>Enati Upstream</t>
  </si>
  <si>
    <t xml:space="preserve">FINC </t>
  </si>
  <si>
    <t>Finch</t>
  </si>
  <si>
    <t xml:space="preserve">FINU </t>
  </si>
  <si>
    <t>Finch Upstream</t>
  </si>
  <si>
    <t xml:space="preserve">FULT </t>
  </si>
  <si>
    <t>Fulton</t>
  </si>
  <si>
    <t xml:space="preserve">HAMA </t>
  </si>
  <si>
    <t>Hamma Hamma</t>
  </si>
  <si>
    <t xml:space="preserve">HAPP </t>
  </si>
  <si>
    <t>Happy Hollow</t>
  </si>
  <si>
    <t xml:space="preserve">HILL </t>
  </si>
  <si>
    <t>Hill</t>
  </si>
  <si>
    <t xml:space="preserve">HOLY </t>
  </si>
  <si>
    <t>Holyoke</t>
  </si>
  <si>
    <t xml:space="preserve">JORS </t>
  </si>
  <si>
    <t>Jorsted</t>
  </si>
  <si>
    <t xml:space="preserve">KOKA </t>
  </si>
  <si>
    <t>SW</t>
  </si>
  <si>
    <t xml:space="preserve">LILL </t>
  </si>
  <si>
    <t>Lilliwaup</t>
  </si>
  <si>
    <t xml:space="preserve">LMIS </t>
  </si>
  <si>
    <t>Little Mission</t>
  </si>
  <si>
    <t xml:space="preserve">LQUI </t>
  </si>
  <si>
    <t>Little Quilcene</t>
  </si>
  <si>
    <t xml:space="preserve">MFSK </t>
  </si>
  <si>
    <t>Skokomish</t>
  </si>
  <si>
    <t xml:space="preserve">MILL </t>
  </si>
  <si>
    <t>Miller</t>
  </si>
  <si>
    <t xml:space="preserve">MISS </t>
  </si>
  <si>
    <t>Mission</t>
  </si>
  <si>
    <t xml:space="preserve">MULB </t>
  </si>
  <si>
    <t>Mulberg</t>
  </si>
  <si>
    <t xml:space="preserve">NFSK </t>
  </si>
  <si>
    <t xml:space="preserve">SEAB </t>
  </si>
  <si>
    <t>Seabeck</t>
  </si>
  <si>
    <t xml:space="preserve">SKAB </t>
  </si>
  <si>
    <t>Skabob</t>
  </si>
  <si>
    <t xml:space="preserve">SKOK </t>
  </si>
  <si>
    <t xml:space="preserve">STAV </t>
  </si>
  <si>
    <t>Stavis</t>
  </si>
  <si>
    <t xml:space="preserve">STIM </t>
  </si>
  <si>
    <t>Stimson</t>
  </si>
  <si>
    <t xml:space="preserve">TAHU </t>
  </si>
  <si>
    <t>Tahuya</t>
  </si>
  <si>
    <t xml:space="preserve">TARB </t>
  </si>
  <si>
    <t>Tarboo</t>
  </si>
  <si>
    <t xml:space="preserve">TFAL </t>
  </si>
  <si>
    <t>Twanoh Falls</t>
  </si>
  <si>
    <t xml:space="preserve">THOR </t>
  </si>
  <si>
    <t>Thorndyke</t>
  </si>
  <si>
    <t xml:space="preserve">TRAI </t>
  </si>
  <si>
    <t>Trails End</t>
  </si>
  <si>
    <t xml:space="preserve">TWAN </t>
  </si>
  <si>
    <t>Twanoh</t>
  </si>
  <si>
    <t xml:space="preserve">UNIO </t>
  </si>
  <si>
    <t>Union</t>
  </si>
  <si>
    <t xml:space="preserve">UNNA </t>
  </si>
  <si>
    <t>Unnamed</t>
  </si>
  <si>
    <t xml:space="preserve">WAKE </t>
  </si>
  <si>
    <t>Wacketickeh</t>
  </si>
  <si>
    <t>Notes about potential problems in each column are written below each column in row 47:</t>
  </si>
  <si>
    <t>Skokomish Watershed Areas are 633 km2 and 588 km2 at Hwy 106 and 101 respectively</t>
  </si>
  <si>
    <t>I made up the shaded numbers….Lauren came up with all the rest</t>
  </si>
  <si>
    <t>***need to select one or average of these to be the skok concentration at mouth</t>
  </si>
  <si>
    <t>Units for each column:</t>
  </si>
  <si>
    <t>meq/100g soil</t>
  </si>
  <si>
    <t>ph</t>
  </si>
  <si>
    <t>%clay</t>
  </si>
  <si>
    <t>g/cm3</t>
  </si>
  <si>
    <t>in/hr</t>
  </si>
  <si>
    <t>inch water/inch soil</t>
  </si>
  <si>
    <t>%OM by wt</t>
  </si>
  <si>
    <t>g OM/m2 area</t>
  </si>
  <si>
    <t>meq/m2 area</t>
  </si>
  <si>
    <t>m2</t>
  </si>
  <si>
    <t>%wshed area</t>
  </si>
  <si>
    <t>Met. Tonnes</t>
  </si>
  <si>
    <t>Inches</t>
  </si>
  <si>
    <t>m3</t>
  </si>
  <si>
    <t>Equiv</t>
  </si>
  <si>
    <t>Meters</t>
  </si>
  <si>
    <t>%slope</t>
  </si>
  <si>
    <t>people/wshed</t>
  </si>
  <si>
    <t>Summary Stats:</t>
  </si>
  <si>
    <t>Mean (No weighting coef is used)</t>
  </si>
  <si>
    <t>Std.  Dev</t>
  </si>
  <si>
    <t>CV =(std/mean)*100%</t>
  </si>
  <si>
    <t>Column used to sum h canal watersehd CO2 fluxes….look at bottom for total CO2 soil flux from H Canal Wshed</t>
  </si>
  <si>
    <t>Column used to sum h canal watersehd OM….look at bottom for total OM in H Canal Wshed (90% of it) MIN</t>
  </si>
  <si>
    <t>Column used to sum h canal watersehd OM….look at bottom for total OM in H Canal Wshed (90% of it) MAX</t>
  </si>
  <si>
    <t>Column used to sum h canal watersehd OM….look at bottom for total OM in H Canal Wshed (90% of it) MEA N</t>
  </si>
  <si>
    <t>Column used to sum olympic mtn watersehd CO2 fluxes….look at bottom for total CO2 soil flux from Olympic Mtns</t>
  </si>
  <si>
    <t>Column used to sum olympic watersehd OM….look at bottom for total OM in olympic mtns MIN</t>
  </si>
  <si>
    <t>Column used to sum olympic watersehd OM….look at bottom for total OM in olympic mtnsmax</t>
  </si>
  <si>
    <t>Column used to sum olympic watersehd OM….look at bottom for total OM in olympic mtns MEAN</t>
  </si>
  <si>
    <t>Wshed area km2</t>
  </si>
  <si>
    <t>Wshed area ha</t>
  </si>
  <si>
    <t>Column used to sum Kitsap watersehd CO2 fluxes….look at bottom for total CO2 soil flux from Kitsap</t>
  </si>
  <si>
    <t>Column used to sum kitsap watersehd OM….look at bottom for total OM in kitsap MIN</t>
  </si>
  <si>
    <t>Column used to sum kitsap watersehd OM….look at bottom for total OM in kitsap Max</t>
  </si>
  <si>
    <t>Column used to sum kitsap watersehd OM….look at bottom for total OM in kitsap Mean</t>
  </si>
  <si>
    <t>wshed total includes correction for the unincluded ~22% of wshed area…which is assumed similar to Kitsap/Lowland soils</t>
  </si>
  <si>
    <t>kg/ha N</t>
  </si>
  <si>
    <t>kg/ha C</t>
  </si>
  <si>
    <t>H Canal</t>
  </si>
  <si>
    <t>ha</t>
  </si>
  <si>
    <t>Olympic Mtns</t>
  </si>
  <si>
    <t>Kitsap/Lowland</t>
  </si>
  <si>
    <t>???</t>
  </si>
  <si>
    <t>Long-term RainVol Weighted NH4 average
mg/L NH4</t>
  </si>
  <si>
    <t>Long-term RainVol Weighted NO3 average
mg/L NO3</t>
  </si>
  <si>
    <t>Long-term RainVol Weighted Conductivity average
microsiemens/cm</t>
  </si>
  <si>
    <t>Olympic Hoh RS</t>
  </si>
  <si>
    <t>North Cascades Marblemount</t>
  </si>
  <si>
    <t>La Grande, Pierce County</t>
  </si>
  <si>
    <t>Mt. Rainier, Tahoma Woods</t>
  </si>
  <si>
    <t>Long-term RainVol Weighted NH4 average
ug/L N</t>
  </si>
  <si>
    <t>Long-term RainVol Weighted NO3 average
ug/L N</t>
  </si>
  <si>
    <t xml:space="preserve"> NH4 streamwater Concentration attributable to dry fallout = Long-term average dry fallout(kg/ha/yr) * watershed area(km)*10000 (ha/km2) / average annual total freshwater flow to Hood Canal (MAF in cfs * 86400* 365.25*28.366 L/cfs) *1e6 ug/1 kg</t>
  </si>
  <si>
    <t>NO3 streamwater Concentration attributable to dry fallout = Long-term average dry fallout(kg/ha/yr) * watershed area(km)*10000 (ha/km2) / average annual total freshwater flow to Hood Canal (MAF in cfs * 86400* 365.25*28.366 L/cfs) *1e6 ug/1 kg</t>
  </si>
  <si>
    <t>wshed area km2</t>
  </si>
  <si>
    <t>MAF 1990 - 2006 Water Years CFS - Based on Gaged and Specific Yield method</t>
  </si>
  <si>
    <t>AVERAGE FLUXES</t>
  </si>
  <si>
    <t>AVG NH4 FLUX kg ha per yr</t>
  </si>
  <si>
    <t>AVG NO3 FLUX kg ha per yr</t>
  </si>
  <si>
    <t>MtRainier</t>
  </si>
  <si>
    <t>NorthCascades</t>
  </si>
  <si>
    <t>Olympic NP</t>
  </si>
  <si>
    <t>Average Dry Fallout Rates</t>
  </si>
  <si>
    <t>Long Term AVERAGE ug/L</t>
  </si>
  <si>
    <t>AVERAGE DIN ug/L From RainWater (Column D) and Dry Fallout (ColumnF)</t>
  </si>
  <si>
    <t>TOTAL Streamwater DIN Concentration from Dryfallout + rainwater</t>
  </si>
  <si>
    <t>ET corrected - TOTAL Streamwater DIN Concentration from Dryfallout + rainwater</t>
  </si>
  <si>
    <t>NO3 Conc. Monte Carlo Simulation (ug/L) (Bin Midpoint)</t>
  </si>
  <si>
    <t>Bin Min</t>
  </si>
  <si>
    <t>Bin Max</t>
  </si>
  <si>
    <t>Number of Occurrences (Out of 30000)</t>
  </si>
  <si>
    <t>p value for each class</t>
  </si>
  <si>
    <t xml:space="preserve">Cumulative Probability (that NO3 is in this class or in lower conc. class)  </t>
  </si>
  <si>
    <t>NH4 Conc. Monte Carlo Simulation (ug/L</t>
  </si>
  <si>
    <t xml:space="preserve">Cumulative Probability (that NH4 is in this class or in lower conc. class)  </t>
  </si>
  <si>
    <t>DIN Conc. Monte Carlo Simulation (ug/L</t>
  </si>
  <si>
    <t xml:space="preserve">Cumulative Probability (that DIN is in this class or in lower conc. class)  </t>
  </si>
  <si>
    <t>This worksheet was cut and pasted (values only) from hc_rainwater_summary.xls….see that file for formulas, etc</t>
  </si>
  <si>
    <t>Average Precip Meters for h canal watershed</t>
  </si>
  <si>
    <t>Liters rain per year per hectare for h canal watershed</t>
  </si>
  <si>
    <t>Average Precip Meters for Kitsap/Lowland watersheds</t>
  </si>
  <si>
    <t>Liters rain per year per hectare for kitsap watersheds</t>
  </si>
  <si>
    <t>Average Precip Meters for Olympic watersheds</t>
  </si>
  <si>
    <t>Liters rain per year per hectare for Olympic watersheds</t>
  </si>
  <si>
    <t>kg/ha total N input (wet + dry) Olympic Watersheds ….Based on Olympic watershed precip totals and hoh river dryfall and wet fall</t>
  </si>
  <si>
    <t>kg/ha total N input (wet + dry) Kitsap/Lowland Watershed….Based on Kitsap/Lowland Annual Precip totals with the mean concentrations from the 4 regional dry and wet fallout stations</t>
  </si>
  <si>
    <r>
      <t>b</t>
    </r>
    <r>
      <rPr>
        <sz val="10"/>
        <rFont val="Arial"/>
        <family val="2"/>
      </rPr>
      <t xml:space="preserve"> - Plant biomass and litter layer estimates from 7 sites in watershed with 21 - 40 year-old, second growth Douglas-fir forest cover (Flint, CM, Master's Thesis).  Plant and litter layer estimates are for this common forest type, but do not necessarily represent watershed mean conditions.</t>
    </r>
  </si>
  <si>
    <r>
      <t>Plant biomass</t>
    </r>
    <r>
      <rPr>
        <b/>
        <vertAlign val="subscript"/>
        <sz val="10"/>
        <rFont val="Arial"/>
        <family val="2"/>
      </rPr>
      <t>b</t>
    </r>
    <r>
      <rPr>
        <b/>
        <sz val="10"/>
        <rFont val="Arial"/>
        <family val="2"/>
      </rPr>
      <t xml:space="preserve"> N</t>
    </r>
  </si>
  <si>
    <r>
      <t>Litter Layer</t>
    </r>
    <r>
      <rPr>
        <b/>
        <vertAlign val="subscript"/>
        <sz val="10"/>
        <rFont val="Arial"/>
        <family val="2"/>
      </rPr>
      <t>b</t>
    </r>
    <r>
      <rPr>
        <b/>
        <sz val="10"/>
        <rFont val="Arial"/>
        <family val="2"/>
      </rPr>
      <t xml:space="preserve"> N</t>
    </r>
  </si>
  <si>
    <t>Figure X.  Watershed N storage and fluxes estimated for Olympic Mountain watersheds draining to Hood Canal, not including the Skokomish River.  Nitrogen fixation and transformations in soil not shown.  C:N ratios are assumed to be 15:1 in plant biomass and litter layer and 20:1 in soil.</t>
  </si>
  <si>
    <t>Figure X.  Watershed carbon storage and fluxes for Olympic Mountain watersheds draining to Hood Canal, not including Skokomish River.  Photosynthetic input, litterfall, and soil transformations not shown.</t>
  </si>
  <si>
    <r>
      <t>Wet and Dry N Fallout</t>
    </r>
    <r>
      <rPr>
        <b/>
        <vertAlign val="subscript"/>
        <sz val="10"/>
        <rFont val="Arial"/>
        <family val="2"/>
      </rPr>
      <t>c</t>
    </r>
    <r>
      <rPr>
        <b/>
        <sz val="10"/>
        <rFont val="Arial"/>
        <family val="2"/>
      </rPr>
      <t xml:space="preserve"> </t>
    </r>
  </si>
  <si>
    <r>
      <t>c</t>
    </r>
    <r>
      <rPr>
        <sz val="10"/>
        <rFont val="Arial"/>
        <family val="2"/>
      </rPr>
      <t xml:space="preserve"> - Rainwater concentrations and dry fallout rates from Hoh River NADP/CASTNET site, precipitation totals based on nearest neighbor interpolation and elevation correction.</t>
    </r>
  </si>
  <si>
    <r>
      <t>c</t>
    </r>
    <r>
      <rPr>
        <sz val="10"/>
        <rFont val="Arial"/>
        <family val="2"/>
      </rPr>
      <t xml:space="preserve"> - Rainwater concentrations and dry fallout rates from 4 nearby NADP sites and 3 CASTNET sites, respectively.  Precipitation totals based on nearest neighbor interpolation and elevation correction.</t>
    </r>
  </si>
  <si>
    <t>Figure X.  Watershed carbon storage and fluxes for Kitsap/Lowland watersheds draining to Hood Canal, not including Skokomish River.  Photosynthetic input, litterfall, and soil transformations not shown.</t>
  </si>
  <si>
    <t>Other C export</t>
  </si>
  <si>
    <t>NO3+NO2</t>
  </si>
  <si>
    <t>PN</t>
  </si>
  <si>
    <t>Notes:</t>
  </si>
  <si>
    <t xml:space="preserve">     Coefficients (with 95% confidence bounds):</t>
  </si>
  <si>
    <t xml:space="preserve">      numparam: 2</t>
  </si>
  <si>
    <t>Figure X.  Watershed N storage and fluxes estimated for Kitsap/Lowland watersheds draining to Hood Canal, not including the Skokomish River.  Nitrogen fixation and transformations in soil not shown.  C:N ratios are assumed 15:1 in plant biomass and litter layer and 20:1 in soil.</t>
  </si>
  <si>
    <t>kg/ha/yr effects of population density, including only kitsap/lowland</t>
  </si>
  <si>
    <t>kg/ha/yr effects of population density, including only olympic</t>
  </si>
  <si>
    <t>DRYFALL</t>
  </si>
  <si>
    <t>Total Mineral Soil Carbon (0 - 2 m)</t>
  </si>
  <si>
    <t>DOC loads</t>
  </si>
  <si>
    <t>DON loads</t>
  </si>
  <si>
    <t>TDN loads</t>
  </si>
  <si>
    <t>NO3 loads</t>
  </si>
  <si>
    <t>NH4 loads</t>
  </si>
  <si>
    <t>NO2 loads</t>
  </si>
  <si>
    <t>SRP loads</t>
  </si>
  <si>
    <t>SIO4 loads</t>
  </si>
  <si>
    <t>metric tonnes</t>
  </si>
  <si>
    <t>Figure X.  Watershed carbon storage and fluxes for 4 densely populated catchments (Union, Tahuya, Big Beef,Seabeck).  Photosynthetic input, litterfall, and soil transformations not shown.</t>
  </si>
  <si>
    <t>Figure X.  Watershed N storage and fluxes estimated for 4 densely populated catchments (Union, Tahuya, Big Beef, Seabeck).  Nitrogen fixation and transformations in soil not shown.  C:N ratios are assumed 15:1 in plant biomass and litter layer and 20:1 in soil.</t>
  </si>
  <si>
    <t>Effect of Population Density from Multiple Regression Model</t>
  </si>
  <si>
    <t>Streamflow Measurements</t>
  </si>
  <si>
    <t>Soil C and Litter C residence time - years</t>
  </si>
  <si>
    <t>'log10(population+1)'</t>
  </si>
  <si>
    <t>Population Density Effect on DIN….in Metric Tons/YR…only including the tributary sampled watersheds…not unsampled area</t>
  </si>
  <si>
    <t>This is the mean flow in CFS for the unsampled area 2005 2006</t>
  </si>
  <si>
    <t>Population Density Effect….Metric Tons Per Year…Sampled and Unsampled Catchments</t>
  </si>
  <si>
    <t>ANNUAL LOADS 2005 to 2006 MT/year</t>
  </si>
  <si>
    <t>This is the (just the population component of the ) DIN concentration expected for unsampled area…It has 45.27 people/km2</t>
  </si>
  <si>
    <t>Expected Annual DIN load from unsampled area with flow and concentration above …MT/yr…just due to population density effect</t>
  </si>
  <si>
    <t xml:space="preserve">Lynch Cove Upwelling flow (m3/s) and DIN load </t>
  </si>
  <si>
    <t>DIN</t>
  </si>
  <si>
    <t>DIN (measured ug/l)</t>
  </si>
  <si>
    <t>Bias (Predicted Load of DIN - Real DIN load)…loads only including the sampled area</t>
  </si>
  <si>
    <t>%Bias</t>
  </si>
  <si>
    <t>kg DIN per person per year..from multiple regression</t>
  </si>
  <si>
    <t>kg DIN per ha per year effect of population density…from multiple regression</t>
  </si>
  <si>
    <t>Average 1990 to 2006 flow (water years)</t>
  </si>
  <si>
    <t>Average 05 06 flow (calendar years - HCDOP monitoring periiod)</t>
  </si>
  <si>
    <t>Cfs rain on h canal</t>
  </si>
  <si>
    <t>Cms rain on h canal</t>
  </si>
  <si>
    <t>Metric tons DIN from rain</t>
  </si>
  <si>
    <t>dryfall DIN</t>
  </si>
  <si>
    <t>TOTal Freshwater cfs (rain on canal + watershed input)</t>
  </si>
  <si>
    <t>a =</t>
  </si>
  <si>
    <t xml:space="preserve">       source: 'stepwisefit'</t>
  </si>
  <si>
    <t xml:space="preserve">          dfe: 40</t>
  </si>
  <si>
    <t xml:space="preserve">          df0: 2</t>
  </si>
  <si>
    <t xml:space="preserve">      SStotal: 1.8332e+006</t>
  </si>
  <si>
    <t xml:space="preserve">      SSresid: 1.0285e+006</t>
  </si>
  <si>
    <t xml:space="preserve">        fstat: 15.6466</t>
  </si>
  <si>
    <t xml:space="preserve">         pval: 9.5553e-006</t>
  </si>
  <si>
    <t xml:space="preserve">         rmse: 160.3538</t>
  </si>
  <si>
    <t xml:space="preserve">           xr: [43x0 double]</t>
  </si>
  <si>
    <t xml:space="preserve">           yr: [43x1 double]</t>
  </si>
  <si>
    <t xml:space="preserve">            B: [2x1 double]</t>
  </si>
  <si>
    <t xml:space="preserve">           SE: [2x1 double]</t>
  </si>
  <si>
    <t xml:space="preserve">        TSTAT: [2x1 double]</t>
  </si>
  <si>
    <t xml:space="preserve">         PVAL: [2x1 double]</t>
  </si>
  <si>
    <t xml:space="preserve">    intercept: -22.0085</t>
  </si>
  <si>
    <t xml:space="preserve">       wasnan: [43x1 logical]</t>
  </si>
  <si>
    <t>Multiple Regression X = log population density and dmf, Y=DIN</t>
  </si>
  <si>
    <t>r2=.439</t>
  </si>
  <si>
    <t>Mean Q 05 06 cfs</t>
  </si>
  <si>
    <t>Din due to DIN due to population (concentration ug/l)</t>
  </si>
  <si>
    <t>Din due to DMF (tonnes/yr)</t>
  </si>
  <si>
    <t>Din due to DIN due to population (tonnes/yr)</t>
  </si>
  <si>
    <t>DMF Effect on DIN….in Metric Tons/YR…only including the tributary sampled watersheds…not unsampled area</t>
  </si>
  <si>
    <t>DMF Effect….Metric Tons Per Year…Sampled and Unsampled Catchments</t>
  </si>
  <si>
    <t>This is the (just the DMF component of the ) DIN concentration expected for unsampled area…It has 45.27 people/km2</t>
  </si>
  <si>
    <t>=</t>
  </si>
  <si>
    <t>Din due to DIN due to intercept (tonnes/yr)</t>
  </si>
  <si>
    <t>This is the intercept concentration foor the unsampled area</t>
  </si>
  <si>
    <t>INtercept Effect….Metric Tons Per Year…Sampled and Unsampled Catchments</t>
  </si>
  <si>
    <t>Expected Annual DIN load from unsampled area with flow and concentration above …MT/yr…just due to intercept</t>
  </si>
  <si>
    <t>Predicted DIN load from sampled tributaries…using DIN multiple regression model with populatioon dennsity and intercept and DMF</t>
  </si>
  <si>
    <t>DMF Coefficient</t>
  </si>
  <si>
    <t>Log Population Density</t>
  </si>
  <si>
    <t>Confidence</t>
  </si>
  <si>
    <t>DMF</t>
  </si>
  <si>
    <t>Population</t>
  </si>
  <si>
    <t>DMF p value</t>
  </si>
  <si>
    <t>population p value</t>
  </si>
  <si>
    <t xml:space="preserve">Din due to DMF (concentration ug/l) </t>
  </si>
  <si>
    <t>Din due to DMF (concentration ug/l) using conf interval (low)</t>
  </si>
  <si>
    <t>Din due to DMF (concentration ug/l) using conf interval (high)</t>
  </si>
  <si>
    <t>Din due to DIN due to population (concentration ug/l) conf interval (low)</t>
  </si>
  <si>
    <t>Din due to DIN due to population (concentration ug/l) conf interval (high)</t>
  </si>
  <si>
    <t>Din due to DMF (tonnes/yr) conf intervall (high)</t>
  </si>
  <si>
    <t>Din due to DMF (tonnes/yr) conf interval (low)</t>
  </si>
  <si>
    <t>Din due to DIN due to population (tonnes/yr) lower conf interval</t>
  </si>
  <si>
    <t>Din due to DIN due to population (tonnes/yr) upper conf interval</t>
  </si>
  <si>
    <t>kg/year/person DIN in streamwater from Union Tahuya, Big Beef, and Seabeck…prediction..lower and upper conf interval</t>
  </si>
  <si>
    <t>The blue box to the right is predicted DIN load, using lower conf interval for DMF and lower conf interval for population density…and then using the high conf interval for both</t>
  </si>
  <si>
    <t xml:space="preserve">actual DIN load </t>
  </si>
  <si>
    <t>r</t>
  </si>
  <si>
    <t>p</t>
  </si>
  <si>
    <t xml:space="preserve">     Linear model Poly1:</t>
  </si>
  <si>
    <t xml:space="preserve">       a(x) = p1*x + p2</t>
  </si>
  <si>
    <t xml:space="preserve">       p1 =       12.37  (11.27, 13.47)</t>
  </si>
  <si>
    <t xml:space="preserve">       p2 =       718.1  (603, 833.1)</t>
  </si>
  <si>
    <t xml:space="preserve">b = </t>
  </si>
  <si>
    <t xml:space="preserve">           sse: 1.0182e+009</t>
  </si>
  <si>
    <t xml:space="preserve">       rsquare: 0.4187</t>
  </si>
  <si>
    <t xml:space="preserve">           dfe: 675</t>
  </si>
  <si>
    <t xml:space="preserve">    adjrsquare: 0.4178</t>
  </si>
  <si>
    <t xml:space="preserve">          rmse: 1.2282e+003</t>
  </si>
  <si>
    <t xml:space="preserve">c = </t>
  </si>
  <si>
    <t xml:space="preserve">        numobs: 677</t>
  </si>
  <si>
    <t xml:space="preserve">     residuals: [677x1 double]</t>
  </si>
  <si>
    <t xml:space="preserve">      Jacobian: [677x2 double]</t>
  </si>
  <si>
    <t xml:space="preserve">      exitflag: 1</t>
  </si>
  <si>
    <t xml:space="preserve">     algorithm: 'QR factorization and solve'</t>
  </si>
  <si>
    <t xml:space="preserve">    iterations: 1</t>
  </si>
  <si>
    <t>DON to DOC ratios</t>
  </si>
  <si>
    <t>The large intercept may be because all negative DON's were zeroed</t>
  </si>
  <si>
    <t>DOC:DON mass ratio</t>
  </si>
  <si>
    <t>aa</t>
  </si>
  <si>
    <t>Total Annual Load</t>
  </si>
  <si>
    <t>N Fork Skokomish Diversion</t>
  </si>
  <si>
    <t>Skokomish River</t>
  </si>
  <si>
    <t>Sampled Kitsap/Lowland Watersheds</t>
  </si>
  <si>
    <t>Unsampled Kitsap/Lowland Watersheds</t>
  </si>
  <si>
    <t>Other Olympic Mountain Rivers</t>
  </si>
  <si>
    <t>Flow - Weighted Mean Concentration: All Hood Canal tributaries</t>
  </si>
  <si>
    <t>Whole Watershed Loading Rates</t>
  </si>
  <si>
    <t>Summary Table.  Regional flow-weighted mean concentrations, annual loading rates, and area - normalized loading rates based on 2005 - 06 HCDOP monthly grab samples.</t>
  </si>
  <si>
    <t>Flow-Weighted Mean Concentrations (ug/L)</t>
  </si>
  <si>
    <t>Loads (Metric Tonnes/Year)</t>
  </si>
  <si>
    <t>Loading Rates (Kg/Year/Hectare)</t>
  </si>
  <si>
    <t>Q</t>
  </si>
  <si>
    <t>r-diversion N fork skok</t>
  </si>
  <si>
    <t>p-diversion N fork skok</t>
  </si>
  <si>
    <t>r-skokomish river</t>
  </si>
  <si>
    <t>p-skokomish river</t>
  </si>
  <si>
    <t>r-sampled kitsap/lowland</t>
  </si>
  <si>
    <t>p-sampled kitsap/lowland</t>
  </si>
  <si>
    <t>r-unsampled kitsap/lowland</t>
  </si>
  <si>
    <t>p-unsampled kitsap/lowland</t>
  </si>
  <si>
    <t>r-Olympic mtns</t>
  </si>
  <si>
    <t>p-Olympic mtns</t>
  </si>
  <si>
    <t>SiO4</t>
  </si>
  <si>
    <t>Diversion from N Fork Skokomish</t>
  </si>
  <si>
    <t>TDN correlation (r) with monthly mean streamflow</t>
  </si>
  <si>
    <t>NO3 correlation (r) with monthly mean streamflow</t>
  </si>
  <si>
    <t>b - Plant biomass and litter layer estimates from 7 sites in watershed with 21 - 40 year-old, second growth Douglas-fir forest cover (Flint, CM, Master's Thesis).  Plant and litter layer estimates are for this common forest type, but do not necessarily represent watershed mean conditions.</t>
  </si>
  <si>
    <t>c - Rainwater concentrations and dry fallout rates from 4 nearby NADP sites and 3 CASTNET sites, respectively.  Precipitation totals based on nearest neighbor interpolation and elevation correction.</t>
  </si>
  <si>
    <t>be 421±162 metric tonnes/year, the regional groundwater was estimated at 56±30 metric tonnes/year, and near-shore septic systems were estimated to contribute 28±15 metric tonnes/year, and direct atmospheric loading  to Hood Canal was estimated at 30±11 metric tonnes</t>
  </si>
  <si>
    <t>Din</t>
  </si>
  <si>
    <t>din</t>
  </si>
  <si>
    <t>Skokomish1</t>
  </si>
  <si>
    <t>Hamma</t>
  </si>
  <si>
    <t>–</t>
  </si>
  <si>
    <t>and</t>
  </si>
  <si>
    <t>Waketickeh</t>
  </si>
  <si>
    <t>USGS gage</t>
  </si>
  <si>
    <t>Groundwater (m3/s)</t>
  </si>
  <si>
    <t>Total Flow (m3/s)</t>
  </si>
  <si>
    <t>Stream DIN Load (MT/yr)</t>
  </si>
  <si>
    <t>Groundwater DIN Load (MT/yr)</t>
  </si>
  <si>
    <t>Total DIN Load (MT/yr)</t>
  </si>
  <si>
    <t>USGS estimates</t>
  </si>
  <si>
    <t>HCDOP estimates</t>
  </si>
  <si>
    <t>r2</t>
  </si>
  <si>
    <t>bias</t>
  </si>
  <si>
    <t>Loads USGS total (stream+subsurface) vs HCDOP stream loads</t>
  </si>
  <si>
    <t>Loads USGS (surface only) vs stream (HCDOP)</t>
  </si>
  <si>
    <t>Total</t>
  </si>
  <si>
    <t>HCDOP TOTAL</t>
  </si>
  <si>
    <t>2005 - 06 flow m3/s</t>
  </si>
  <si>
    <t>HCDOP DIN load MT yr</t>
  </si>
  <si>
    <t>HCDOP Concentration 05 06 flow weight</t>
  </si>
  <si>
    <t>USGS Concentration (stream Load/stream's mean flow)</t>
  </si>
  <si>
    <t>bias average(USGS - HCDOP)/average(USGS) *100%</t>
  </si>
  <si>
    <t>Conc vs Conc - for the 9 streams that USGS used in loading estimates</t>
  </si>
  <si>
    <t>Conc vs Conc - for all the other streams</t>
  </si>
  <si>
    <t>POC</t>
  </si>
  <si>
    <t>TN</t>
  </si>
  <si>
    <t>TOC</t>
  </si>
  <si>
    <t>TON</t>
  </si>
  <si>
    <t>DOC:DON mass load ratio</t>
  </si>
  <si>
    <t>POC:PN mass load ratio</t>
  </si>
  <si>
    <t>TOC:TON mass load ratio</t>
  </si>
  <si>
    <t>OF TOC</t>
  </si>
  <si>
    <t>of TN</t>
  </si>
  <si>
    <t>of TOC</t>
  </si>
  <si>
    <t>Peter (Log10(Total Flow))</t>
  </si>
  <si>
    <t>Log10 2005 - 06 flow m3/s</t>
  </si>
  <si>
    <t>Flows stream vs stream (logspace)</t>
  </si>
  <si>
    <t>HCDOP higher</t>
  </si>
  <si>
    <t>HCDOP median</t>
  </si>
  <si>
    <t>USGS median</t>
  </si>
</sst>
</file>

<file path=xl/styles.xml><?xml version="1.0" encoding="utf-8"?>
<styleSheet xmlns="http://schemas.openxmlformats.org/spreadsheetml/2006/main">
  <numFmts count="36">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0"/>
    <numFmt numFmtId="171" formatCode="0.000000"/>
    <numFmt numFmtId="172" formatCode="0.0000"/>
    <numFmt numFmtId="173" formatCode="0.000"/>
    <numFmt numFmtId="174" formatCode="0.0"/>
    <numFmt numFmtId="175" formatCode="0.0E+00"/>
    <numFmt numFmtId="176" formatCode="0.00000000"/>
    <numFmt numFmtId="177" formatCode="0.0000000"/>
    <numFmt numFmtId="178" formatCode="0.000000000"/>
    <numFmt numFmtId="179" formatCode="0.0000000000"/>
    <numFmt numFmtId="180" formatCode="0.00000000000"/>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409]dddd\,\ mmmm\ dd\,\ yyyy"/>
    <numFmt numFmtId="188" formatCode="#,##0.000"/>
    <numFmt numFmtId="189" formatCode="#,##0.0000"/>
    <numFmt numFmtId="190" formatCode="0.000000000000"/>
    <numFmt numFmtId="191" formatCode="mmm\-yyyy"/>
  </numFmts>
  <fonts count="45">
    <font>
      <sz val="10"/>
      <name val="Arial"/>
      <family val="0"/>
    </font>
    <font>
      <b/>
      <sz val="10"/>
      <name val="Arial"/>
      <family val="2"/>
    </font>
    <font>
      <sz val="10"/>
      <color indexed="10"/>
      <name val="Arial"/>
      <family val="0"/>
    </font>
    <font>
      <u val="single"/>
      <sz val="10"/>
      <color indexed="12"/>
      <name val="Arial"/>
      <family val="0"/>
    </font>
    <font>
      <u val="single"/>
      <sz val="10"/>
      <color indexed="36"/>
      <name val="Arial"/>
      <family val="0"/>
    </font>
    <font>
      <b/>
      <sz val="10"/>
      <color indexed="12"/>
      <name val="Arial"/>
      <family val="2"/>
    </font>
    <font>
      <sz val="10"/>
      <color indexed="8"/>
      <name val="Arial"/>
      <family val="0"/>
    </font>
    <font>
      <b/>
      <sz val="10"/>
      <color indexed="8"/>
      <name val="Arial"/>
      <family val="0"/>
    </font>
    <font>
      <b/>
      <sz val="10"/>
      <color indexed="10"/>
      <name val="Arial"/>
      <family val="2"/>
    </font>
    <font>
      <sz val="8"/>
      <name val="Arial"/>
      <family val="0"/>
    </font>
    <font>
      <sz val="10"/>
      <color indexed="18"/>
      <name val="Arial Unicode MS"/>
      <family val="0"/>
    </font>
    <font>
      <b/>
      <sz val="11"/>
      <name val="Arial"/>
      <family val="0"/>
    </font>
    <font>
      <b/>
      <vertAlign val="subscript"/>
      <sz val="11"/>
      <name val="Arial"/>
      <family val="2"/>
    </font>
    <font>
      <b/>
      <vertAlign val="subscript"/>
      <sz val="10"/>
      <name val="Arial"/>
      <family val="2"/>
    </font>
    <font>
      <i/>
      <sz val="11"/>
      <name val="Arial"/>
      <family val="2"/>
    </font>
    <font>
      <sz val="10"/>
      <color indexed="12"/>
      <name val="Arial"/>
      <family val="0"/>
    </font>
    <font>
      <sz val="10"/>
      <color indexed="17"/>
      <name val="Arial"/>
      <family val="0"/>
    </font>
    <font>
      <sz val="10"/>
      <color indexed="16"/>
      <name val="Arial"/>
      <family val="0"/>
    </font>
    <font>
      <b/>
      <sz val="12"/>
      <color indexed="12"/>
      <name val="Arial"/>
      <family val="2"/>
    </font>
    <font>
      <b/>
      <sz val="12"/>
      <color indexed="10"/>
      <name val="Arial"/>
      <family val="2"/>
    </font>
    <font>
      <b/>
      <sz val="14"/>
      <name val="Arial"/>
      <family val="2"/>
    </font>
    <font>
      <b/>
      <sz val="16"/>
      <color indexed="10"/>
      <name val="Arial"/>
      <family val="2"/>
    </font>
    <font>
      <b/>
      <sz val="18"/>
      <color indexed="10"/>
      <name val="Arial"/>
      <family val="2"/>
    </font>
    <font>
      <b/>
      <sz val="12"/>
      <name val="Arial"/>
      <family val="2"/>
    </font>
    <font>
      <b/>
      <i/>
      <sz val="18"/>
      <color indexed="56"/>
      <name val="Arial"/>
      <family val="2"/>
    </font>
    <font>
      <sz val="18"/>
      <name val="Arial"/>
      <family val="2"/>
    </font>
    <font>
      <b/>
      <sz val="14"/>
      <color indexed="12"/>
      <name val="Arial"/>
      <family val="2"/>
    </font>
    <font>
      <b/>
      <sz val="16"/>
      <name val="Arial"/>
      <family val="2"/>
    </font>
    <font>
      <sz val="1.5"/>
      <name val="Arial"/>
      <family val="0"/>
    </font>
    <font>
      <b/>
      <sz val="1.5"/>
      <name val="Arial"/>
      <family val="0"/>
    </font>
    <font>
      <vertAlign val="superscript"/>
      <sz val="1.5"/>
      <name val="Arial"/>
      <family val="0"/>
    </font>
    <font>
      <b/>
      <sz val="1.75"/>
      <name val="Arial"/>
      <family val="2"/>
    </font>
    <font>
      <sz val="1.75"/>
      <name val="Arial"/>
      <family val="0"/>
    </font>
    <font>
      <b/>
      <vertAlign val="superscript"/>
      <sz val="1.75"/>
      <name val="Arial"/>
      <family val="2"/>
    </font>
    <font>
      <sz val="1.5"/>
      <color indexed="12"/>
      <name val="Arial"/>
      <family val="2"/>
    </font>
    <font>
      <vertAlign val="superscript"/>
      <sz val="1.75"/>
      <name val="Arial"/>
      <family val="0"/>
    </font>
    <font>
      <vertAlign val="superscript"/>
      <sz val="1"/>
      <name val="Arial"/>
      <family val="0"/>
    </font>
    <font>
      <sz val="1"/>
      <name val="Arial"/>
      <family val="0"/>
    </font>
    <font>
      <b/>
      <sz val="1"/>
      <name val="Arial"/>
      <family val="0"/>
    </font>
    <font>
      <sz val="12"/>
      <name val="Times New Roman"/>
      <family val="1"/>
    </font>
    <font>
      <sz val="11"/>
      <name val="Arial"/>
      <family val="2"/>
    </font>
    <font>
      <sz val="10"/>
      <name val="Arial Unicode MS"/>
      <family val="0"/>
    </font>
    <font>
      <b/>
      <sz val="10"/>
      <name val="Arial Unicode MS"/>
      <family val="0"/>
    </font>
    <font>
      <b/>
      <sz val="10"/>
      <color indexed="62"/>
      <name val="Arial"/>
      <family val="2"/>
    </font>
    <font>
      <sz val="12"/>
      <name val="Arial"/>
      <family val="2"/>
    </font>
  </fonts>
  <fills count="16">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51"/>
        <bgColor indexed="64"/>
      </patternFill>
    </fill>
    <fill>
      <patternFill patternType="solid">
        <fgColor indexed="43"/>
        <bgColor indexed="64"/>
      </patternFill>
    </fill>
    <fill>
      <patternFill patternType="gray0625">
        <bgColor indexed="55"/>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12"/>
        <bgColor indexed="64"/>
      </patternFill>
    </fill>
  </fills>
  <borders count="48">
    <border>
      <left/>
      <right/>
      <top/>
      <bottom/>
      <diagonal/>
    </border>
    <border>
      <left style="thick"/>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style="thick"/>
      <top style="thick"/>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thin"/>
      <top>
        <color indexed="63"/>
      </top>
      <bottom>
        <color indexed="63"/>
      </bottom>
      <diagonal style="thin"/>
    </border>
    <border>
      <left style="thin"/>
      <right style="thin"/>
      <top style="thin"/>
      <bottom style="thin"/>
    </border>
    <border>
      <left style="thick"/>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style="thick"/>
      <top style="thin"/>
      <bottom style="thick"/>
    </border>
    <border>
      <left>
        <color indexed="63"/>
      </left>
      <right>
        <color indexed="63"/>
      </right>
      <top style="thick"/>
      <bottom style="thin"/>
    </border>
    <border>
      <left>
        <color indexed="63"/>
      </left>
      <right>
        <color indexed="63"/>
      </right>
      <top style="thin"/>
      <bottom style="thin"/>
    </border>
    <border>
      <left>
        <color indexed="63"/>
      </left>
      <right>
        <color indexed="63"/>
      </right>
      <top style="thin"/>
      <bottom style="thick"/>
    </border>
    <border>
      <left>
        <color indexed="63"/>
      </left>
      <right>
        <color indexed="63"/>
      </right>
      <top style="thick"/>
      <bottom>
        <color indexed="63"/>
      </bottom>
    </border>
    <border>
      <left>
        <color indexed="63"/>
      </left>
      <right style="thin"/>
      <top style="thick"/>
      <bottom>
        <color indexed="63"/>
      </bottom>
    </border>
    <border>
      <left>
        <color indexed="63"/>
      </left>
      <right style="thin"/>
      <top style="thick"/>
      <bottom style="thin"/>
    </border>
    <border>
      <left>
        <color indexed="63"/>
      </left>
      <right style="thin"/>
      <top style="thin"/>
      <bottom style="thin"/>
    </border>
    <border>
      <left>
        <color indexed="63"/>
      </left>
      <right style="thin"/>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medium"/>
      <bottom>
        <color indexed="63"/>
      </bottom>
    </border>
    <border>
      <left style="medium"/>
      <right>
        <color indexed="63"/>
      </right>
      <top>
        <color indexed="63"/>
      </top>
      <bottom style="thick"/>
    </border>
    <border>
      <left>
        <color indexed="63"/>
      </left>
      <right style="thin"/>
      <top style="thick"/>
      <bottom style="thick"/>
    </border>
    <border>
      <left>
        <color indexed="63"/>
      </left>
      <right>
        <color indexed="63"/>
      </right>
      <top style="thick"/>
      <bottom style="thick"/>
    </border>
    <border>
      <left>
        <color indexed="63"/>
      </left>
      <right style="thin"/>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02">
    <xf numFmtId="0" fontId="0" fillId="0" borderId="0" xfId="0" applyAlignment="1">
      <alignment/>
    </xf>
    <xf numFmtId="0" fontId="1" fillId="0" borderId="0" xfId="0" applyFont="1" applyAlignment="1">
      <alignment/>
    </xf>
    <xf numFmtId="2" fontId="1" fillId="0" borderId="0" xfId="0" applyNumberFormat="1" applyFont="1" applyAlignment="1">
      <alignment/>
    </xf>
    <xf numFmtId="174" fontId="1" fillId="0" borderId="0" xfId="0" applyNumberFormat="1" applyFont="1" applyAlignment="1">
      <alignment/>
    </xf>
    <xf numFmtId="0" fontId="1" fillId="2" borderId="0" xfId="0" applyFont="1" applyFill="1" applyAlignment="1">
      <alignment wrapText="1"/>
    </xf>
    <xf numFmtId="0" fontId="1" fillId="0" borderId="0" xfId="0" applyFont="1" applyAlignment="1">
      <alignment wrapText="1"/>
    </xf>
    <xf numFmtId="2" fontId="0" fillId="0" borderId="0" xfId="0" applyNumberFormat="1" applyAlignment="1">
      <alignment/>
    </xf>
    <xf numFmtId="174" fontId="0" fillId="0" borderId="0" xfId="0" applyNumberFormat="1" applyAlignment="1">
      <alignment/>
    </xf>
    <xf numFmtId="175" fontId="0" fillId="0" borderId="0" xfId="0" applyNumberFormat="1" applyFont="1" applyFill="1" applyAlignment="1">
      <alignment/>
    </xf>
    <xf numFmtId="174" fontId="1" fillId="0" borderId="0" xfId="0" applyNumberFormat="1" applyFont="1" applyAlignment="1">
      <alignment wrapText="1"/>
    </xf>
    <xf numFmtId="0" fontId="5" fillId="2" borderId="0" xfId="0" applyFont="1" applyFill="1" applyAlignment="1">
      <alignment/>
    </xf>
    <xf numFmtId="0" fontId="5" fillId="0" borderId="0" xfId="0" applyFont="1" applyAlignment="1">
      <alignment/>
    </xf>
    <xf numFmtId="174" fontId="5" fillId="2" borderId="0" xfId="0" applyNumberFormat="1" applyFont="1" applyFill="1" applyAlignment="1">
      <alignment/>
    </xf>
    <xf numFmtId="174" fontId="5" fillId="0" borderId="0" xfId="0" applyNumberFormat="1" applyFont="1" applyAlignment="1">
      <alignment/>
    </xf>
    <xf numFmtId="2" fontId="5" fillId="0" borderId="0" xfId="0" applyNumberFormat="1" applyFont="1" applyAlignment="1">
      <alignment/>
    </xf>
    <xf numFmtId="174" fontId="1" fillId="0" borderId="0" xfId="0" applyNumberFormat="1" applyFont="1" applyAlignment="1">
      <alignment horizontal="left"/>
    </xf>
    <xf numFmtId="181" fontId="1" fillId="0" borderId="0" xfId="0" applyNumberFormat="1" applyFont="1" applyAlignment="1">
      <alignment/>
    </xf>
    <xf numFmtId="0" fontId="6" fillId="3" borderId="0" xfId="0" applyFont="1" applyFill="1" applyAlignment="1">
      <alignment/>
    </xf>
    <xf numFmtId="174" fontId="7" fillId="3" borderId="0" xfId="0" applyNumberFormat="1" applyFont="1" applyFill="1" applyAlignment="1">
      <alignment/>
    </xf>
    <xf numFmtId="0" fontId="7" fillId="3" borderId="0" xfId="0" applyFont="1" applyFill="1" applyAlignment="1">
      <alignment/>
    </xf>
    <xf numFmtId="0" fontId="7" fillId="3" borderId="0" xfId="0" applyFont="1" applyFill="1" applyAlignment="1">
      <alignment/>
    </xf>
    <xf numFmtId="173" fontId="7" fillId="3" borderId="0" xfId="0" applyNumberFormat="1" applyFont="1" applyFill="1" applyAlignment="1">
      <alignment/>
    </xf>
    <xf numFmtId="0" fontId="0" fillId="4" borderId="0" xfId="0" applyFill="1" applyAlignment="1">
      <alignment/>
    </xf>
    <xf numFmtId="0" fontId="10" fillId="0" borderId="0" xfId="0" applyFont="1" applyAlignment="1">
      <alignment/>
    </xf>
    <xf numFmtId="0" fontId="0" fillId="0" borderId="0" xfId="0" applyAlignment="1">
      <alignment wrapText="1"/>
    </xf>
    <xf numFmtId="3" fontId="0" fillId="0" borderId="0" xfId="0" applyNumberFormat="1" applyAlignment="1">
      <alignment wrapText="1"/>
    </xf>
    <xf numFmtId="3" fontId="0" fillId="0" borderId="0" xfId="0" applyNumberFormat="1" applyAlignment="1">
      <alignment/>
    </xf>
    <xf numFmtId="0" fontId="1" fillId="5" borderId="1" xfId="0" applyFont="1" applyFill="1" applyBorder="1" applyAlignment="1">
      <alignment wrapText="1"/>
    </xf>
    <xf numFmtId="3" fontId="1" fillId="5" borderId="2" xfId="0" applyNumberFormat="1" applyFont="1" applyFill="1" applyBorder="1" applyAlignment="1">
      <alignment wrapText="1"/>
    </xf>
    <xf numFmtId="0" fontId="1" fillId="6" borderId="1" xfId="0" applyFont="1" applyFill="1" applyBorder="1" applyAlignment="1">
      <alignment wrapText="1"/>
    </xf>
    <xf numFmtId="3" fontId="1" fillId="6" borderId="2" xfId="0" applyNumberFormat="1" applyFont="1" applyFill="1" applyBorder="1" applyAlignment="1">
      <alignment wrapText="1"/>
    </xf>
    <xf numFmtId="0" fontId="1" fillId="7" borderId="1" xfId="0" applyFont="1" applyFill="1" applyBorder="1" applyAlignment="1">
      <alignment wrapText="1"/>
    </xf>
    <xf numFmtId="3" fontId="1" fillId="7" borderId="2" xfId="0" applyNumberFormat="1" applyFont="1" applyFill="1" applyBorder="1" applyAlignment="1">
      <alignment wrapText="1"/>
    </xf>
    <xf numFmtId="0" fontId="11" fillId="7" borderId="1" xfId="0" applyFont="1" applyFill="1" applyBorder="1" applyAlignment="1">
      <alignment wrapText="1"/>
    </xf>
    <xf numFmtId="0" fontId="11" fillId="7" borderId="2" xfId="0" applyFont="1" applyFill="1" applyBorder="1" applyAlignment="1">
      <alignment wrapText="1"/>
    </xf>
    <xf numFmtId="0" fontId="11" fillId="4" borderId="3" xfId="0" applyFont="1" applyFill="1" applyBorder="1" applyAlignment="1">
      <alignment wrapText="1"/>
    </xf>
    <xf numFmtId="0" fontId="11" fillId="4" borderId="4" xfId="0" applyFont="1" applyFill="1" applyBorder="1" applyAlignment="1">
      <alignment wrapText="1"/>
    </xf>
    <xf numFmtId="0" fontId="0" fillId="0" borderId="5" xfId="0" applyBorder="1" applyAlignment="1">
      <alignment/>
    </xf>
    <xf numFmtId="0" fontId="0" fillId="0" borderId="6" xfId="0" applyBorder="1" applyAlignment="1">
      <alignment wrapText="1"/>
    </xf>
    <xf numFmtId="3" fontId="0" fillId="0" borderId="6" xfId="0" applyNumberFormat="1" applyBorder="1" applyAlignment="1">
      <alignment wrapText="1"/>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wrapText="1"/>
    </xf>
    <xf numFmtId="0" fontId="0" fillId="0" borderId="9" xfId="0" applyBorder="1" applyAlignment="1">
      <alignment/>
    </xf>
    <xf numFmtId="3" fontId="0" fillId="0" borderId="0" xfId="0" applyNumberFormat="1" applyBorder="1" applyAlignment="1">
      <alignment wrapText="1"/>
    </xf>
    <xf numFmtId="0" fontId="0" fillId="0" borderId="0" xfId="0" applyBorder="1" applyAlignment="1">
      <alignment/>
    </xf>
    <xf numFmtId="0" fontId="0" fillId="0" borderId="10" xfId="0" applyBorder="1" applyAlignment="1">
      <alignment/>
    </xf>
    <xf numFmtId="0" fontId="0" fillId="0" borderId="11" xfId="0" applyBorder="1" applyAlignment="1">
      <alignment wrapText="1"/>
    </xf>
    <xf numFmtId="3" fontId="0" fillId="0" borderId="11" xfId="0" applyNumberFormat="1" applyBorder="1" applyAlignment="1">
      <alignment wrapText="1"/>
    </xf>
    <xf numFmtId="0" fontId="0" fillId="0" borderId="12" xfId="0" applyBorder="1" applyAlignment="1">
      <alignment/>
    </xf>
    <xf numFmtId="0" fontId="11" fillId="0" borderId="13" xfId="0" applyFont="1" applyBorder="1" applyAlignment="1">
      <alignment textRotation="45" wrapText="1"/>
    </xf>
    <xf numFmtId="0" fontId="11" fillId="0" borderId="14" xfId="0" applyFont="1" applyFill="1" applyBorder="1" applyAlignment="1">
      <alignment textRotation="45" wrapText="1"/>
    </xf>
    <xf numFmtId="0" fontId="11" fillId="0" borderId="0" xfId="0" applyFont="1" applyFill="1" applyBorder="1" applyAlignment="1">
      <alignment textRotation="45" wrapText="1"/>
    </xf>
    <xf numFmtId="1" fontId="11" fillId="0" borderId="0" xfId="0" applyNumberFormat="1" applyFont="1" applyFill="1" applyBorder="1" applyAlignment="1">
      <alignment textRotation="45" wrapText="1"/>
    </xf>
    <xf numFmtId="0" fontId="0" fillId="0" borderId="0" xfId="0" applyFill="1" applyBorder="1" applyAlignment="1">
      <alignment/>
    </xf>
    <xf numFmtId="175" fontId="0" fillId="0" borderId="0" xfId="0" applyNumberFormat="1" applyAlignment="1">
      <alignment/>
    </xf>
    <xf numFmtId="174" fontId="0" fillId="0" borderId="0" xfId="0" applyNumberFormat="1" applyFont="1" applyFill="1" applyAlignment="1">
      <alignment/>
    </xf>
    <xf numFmtId="11" fontId="0" fillId="0" borderId="0" xfId="0" applyNumberFormat="1" applyAlignment="1">
      <alignment/>
    </xf>
    <xf numFmtId="1" fontId="0" fillId="0" borderId="0" xfId="0" applyNumberFormat="1" applyAlignment="1">
      <alignment/>
    </xf>
    <xf numFmtId="0" fontId="0" fillId="0" borderId="0" xfId="0" applyFill="1" applyAlignment="1">
      <alignment/>
    </xf>
    <xf numFmtId="174" fontId="0" fillId="0" borderId="0" xfId="0" applyNumberFormat="1" applyFill="1" applyAlignment="1">
      <alignment/>
    </xf>
    <xf numFmtId="175" fontId="0" fillId="0" borderId="0" xfId="0" applyNumberFormat="1" applyFill="1" applyAlignment="1">
      <alignment/>
    </xf>
    <xf numFmtId="1" fontId="0" fillId="0" borderId="0" xfId="0" applyNumberFormat="1" applyFill="1" applyAlignment="1">
      <alignment/>
    </xf>
    <xf numFmtId="2" fontId="0" fillId="8" borderId="0" xfId="0" applyNumberFormat="1" applyFill="1" applyAlignment="1">
      <alignment/>
    </xf>
    <xf numFmtId="0" fontId="1" fillId="0" borderId="0" xfId="0" applyFont="1" applyFill="1" applyBorder="1" applyAlignment="1">
      <alignment/>
    </xf>
    <xf numFmtId="0" fontId="0" fillId="0" borderId="0" xfId="0" applyFont="1" applyFill="1" applyAlignment="1">
      <alignment/>
    </xf>
    <xf numFmtId="0" fontId="1" fillId="9" borderId="15" xfId="0" applyFont="1" applyFill="1" applyBorder="1" applyAlignment="1">
      <alignment/>
    </xf>
    <xf numFmtId="2" fontId="0" fillId="0" borderId="0" xfId="0" applyNumberFormat="1" applyFill="1" applyAlignment="1">
      <alignment/>
    </xf>
    <xf numFmtId="0" fontId="15" fillId="0" borderId="0" xfId="0" applyFont="1" applyFill="1" applyBorder="1" applyAlignment="1">
      <alignment/>
    </xf>
    <xf numFmtId="175" fontId="2" fillId="10" borderId="0" xfId="0" applyNumberFormat="1" applyFont="1" applyFill="1" applyAlignment="1">
      <alignment/>
    </xf>
    <xf numFmtId="0" fontId="2" fillId="0" borderId="0" xfId="0" applyFont="1" applyFill="1" applyBorder="1" applyAlignment="1">
      <alignment/>
    </xf>
    <xf numFmtId="0" fontId="16" fillId="0" borderId="0" xfId="0" applyFont="1" applyFill="1" applyBorder="1" applyAlignment="1">
      <alignment/>
    </xf>
    <xf numFmtId="1" fontId="0" fillId="2" borderId="0" xfId="0" applyNumberFormat="1" applyFill="1" applyAlignment="1">
      <alignment/>
    </xf>
    <xf numFmtId="0" fontId="17" fillId="0" borderId="0" xfId="0" applyFont="1" applyFill="1" applyBorder="1" applyAlignment="1">
      <alignment/>
    </xf>
    <xf numFmtId="0" fontId="0" fillId="0" borderId="0" xfId="0" applyFont="1" applyFill="1" applyAlignment="1">
      <alignment/>
    </xf>
    <xf numFmtId="180" fontId="0" fillId="0" borderId="0" xfId="0" applyNumberFormat="1" applyAlignment="1">
      <alignment/>
    </xf>
    <xf numFmtId="0" fontId="8" fillId="0" borderId="0" xfId="0" applyFont="1" applyAlignment="1">
      <alignment/>
    </xf>
    <xf numFmtId="0" fontId="1" fillId="0" borderId="0" xfId="0" applyFont="1" applyFill="1" applyAlignment="1">
      <alignment/>
    </xf>
    <xf numFmtId="0" fontId="2" fillId="10" borderId="0" xfId="0" applyFont="1" applyFill="1" applyAlignment="1">
      <alignment/>
    </xf>
    <xf numFmtId="1" fontId="0" fillId="8" borderId="0" xfId="0" applyNumberFormat="1" applyFill="1" applyAlignment="1">
      <alignment/>
    </xf>
    <xf numFmtId="0" fontId="0" fillId="2" borderId="0" xfId="0" applyFill="1" applyAlignment="1">
      <alignment/>
    </xf>
    <xf numFmtId="3" fontId="5" fillId="0" borderId="0" xfId="0" applyNumberFormat="1" applyFont="1" applyAlignment="1">
      <alignment/>
    </xf>
    <xf numFmtId="3" fontId="8" fillId="0" borderId="0" xfId="0" applyNumberFormat="1" applyFont="1" applyAlignment="1">
      <alignment/>
    </xf>
    <xf numFmtId="180" fontId="2" fillId="0" borderId="0" xfId="0" applyNumberFormat="1" applyFont="1" applyFill="1" applyAlignment="1">
      <alignment/>
    </xf>
    <xf numFmtId="0" fontId="0" fillId="0" borderId="0" xfId="0" applyFont="1" applyFill="1" applyAlignment="1">
      <alignment/>
    </xf>
    <xf numFmtId="0" fontId="15" fillId="0" borderId="0" xfId="0" applyFont="1" applyAlignment="1">
      <alignment/>
    </xf>
    <xf numFmtId="2" fontId="1" fillId="0" borderId="15" xfId="0" applyNumberFormat="1" applyFont="1" applyBorder="1" applyAlignment="1">
      <alignment wrapText="1"/>
    </xf>
    <xf numFmtId="2" fontId="1" fillId="0" borderId="0" xfId="0" applyNumberFormat="1" applyFont="1" applyFill="1" applyAlignment="1">
      <alignment/>
    </xf>
    <xf numFmtId="11" fontId="0" fillId="0" borderId="0" xfId="0" applyNumberFormat="1" applyFill="1" applyAlignment="1">
      <alignment/>
    </xf>
    <xf numFmtId="10" fontId="0" fillId="0" borderId="0" xfId="0" applyNumberFormat="1" applyFill="1" applyAlignment="1">
      <alignment/>
    </xf>
    <xf numFmtId="10" fontId="0" fillId="0" borderId="0" xfId="0" applyNumberFormat="1" applyAlignment="1">
      <alignment/>
    </xf>
    <xf numFmtId="2" fontId="2" fillId="0" borderId="0" xfId="0" applyNumberFormat="1" applyFont="1" applyFill="1" applyAlignment="1">
      <alignment/>
    </xf>
    <xf numFmtId="0" fontId="2" fillId="0" borderId="0" xfId="0" applyFont="1" applyFill="1" applyAlignment="1">
      <alignment/>
    </xf>
    <xf numFmtId="170" fontId="0" fillId="0" borderId="0" xfId="0" applyNumberFormat="1" applyFont="1" applyFill="1" applyAlignment="1">
      <alignment/>
    </xf>
    <xf numFmtId="170" fontId="1" fillId="9" borderId="15" xfId="0" applyNumberFormat="1" applyFont="1" applyFill="1" applyBorder="1" applyAlignment="1">
      <alignment/>
    </xf>
    <xf numFmtId="170" fontId="2" fillId="10" borderId="0" xfId="0" applyNumberFormat="1" applyFont="1" applyFill="1" applyAlignment="1">
      <alignment/>
    </xf>
    <xf numFmtId="0" fontId="2" fillId="2" borderId="0" xfId="0" applyFont="1" applyFill="1" applyAlignment="1">
      <alignment/>
    </xf>
    <xf numFmtId="49" fontId="0" fillId="0" borderId="0" xfId="0" applyNumberFormat="1" applyAlignment="1">
      <alignment wrapText="1"/>
    </xf>
    <xf numFmtId="49" fontId="1" fillId="0" borderId="0" xfId="0" applyNumberFormat="1" applyFont="1" applyAlignment="1">
      <alignment wrapText="1"/>
    </xf>
    <xf numFmtId="172" fontId="0" fillId="0" borderId="0" xfId="0" applyNumberFormat="1" applyAlignment="1">
      <alignment/>
    </xf>
    <xf numFmtId="0" fontId="1" fillId="0" borderId="15" xfId="0" applyFont="1" applyBorder="1" applyAlignment="1">
      <alignment/>
    </xf>
    <xf numFmtId="2" fontId="1" fillId="0" borderId="15" xfId="0" applyNumberFormat="1" applyFont="1" applyBorder="1" applyAlignment="1">
      <alignment/>
    </xf>
    <xf numFmtId="0" fontId="1" fillId="0" borderId="15" xfId="0" applyNumberFormat="1" applyFont="1" applyBorder="1" applyAlignment="1">
      <alignment wrapText="1"/>
    </xf>
    <xf numFmtId="0" fontId="20" fillId="2" borderId="15" xfId="0" applyFont="1" applyFill="1" applyBorder="1" applyAlignment="1">
      <alignment wrapText="1"/>
    </xf>
    <xf numFmtId="2" fontId="20" fillId="2" borderId="15" xfId="0" applyNumberFormat="1" applyFont="1" applyFill="1" applyBorder="1" applyAlignment="1">
      <alignment/>
    </xf>
    <xf numFmtId="2" fontId="21" fillId="0" borderId="0" xfId="0" applyNumberFormat="1" applyFont="1" applyAlignment="1">
      <alignment/>
    </xf>
    <xf numFmtId="0" fontId="5" fillId="10" borderId="0" xfId="0" applyFont="1" applyFill="1" applyAlignment="1">
      <alignment/>
    </xf>
    <xf numFmtId="0" fontId="22" fillId="0" borderId="0" xfId="0" applyFont="1" applyFill="1" applyAlignment="1">
      <alignment/>
    </xf>
    <xf numFmtId="2" fontId="1" fillId="11" borderId="2" xfId="0" applyNumberFormat="1" applyFont="1" applyFill="1" applyBorder="1" applyAlignment="1">
      <alignment/>
    </xf>
    <xf numFmtId="0" fontId="0" fillId="0" borderId="11" xfId="0" applyBorder="1" applyAlignment="1">
      <alignment/>
    </xf>
    <xf numFmtId="3" fontId="0" fillId="0" borderId="11" xfId="0" applyNumberFormat="1" applyBorder="1" applyAlignment="1">
      <alignment/>
    </xf>
    <xf numFmtId="0" fontId="1" fillId="11" borderId="1" xfId="0" applyFont="1" applyFill="1" applyBorder="1" applyAlignment="1">
      <alignment wrapText="1"/>
    </xf>
    <xf numFmtId="0" fontId="0" fillId="0" borderId="0" xfId="0" applyFont="1" applyAlignment="1">
      <alignment/>
    </xf>
    <xf numFmtId="0" fontId="11" fillId="4" borderId="16" xfId="0" applyFont="1" applyFill="1" applyBorder="1" applyAlignment="1">
      <alignment wrapText="1"/>
    </xf>
    <xf numFmtId="0" fontId="11" fillId="4" borderId="17" xfId="0" applyFont="1" applyFill="1" applyBorder="1" applyAlignment="1">
      <alignment wrapText="1"/>
    </xf>
    <xf numFmtId="0" fontId="11" fillId="4" borderId="18" xfId="0" applyFont="1" applyFill="1" applyBorder="1" applyAlignment="1">
      <alignment wrapText="1"/>
    </xf>
    <xf numFmtId="0" fontId="11" fillId="4" borderId="19" xfId="0" applyFont="1" applyFill="1" applyBorder="1" applyAlignment="1">
      <alignment wrapText="1"/>
    </xf>
    <xf numFmtId="0" fontId="11" fillId="4" borderId="20" xfId="0" applyFont="1" applyFill="1" applyBorder="1" applyAlignment="1">
      <alignment wrapText="1"/>
    </xf>
    <xf numFmtId="0" fontId="11" fillId="4" borderId="21" xfId="0" applyFont="1" applyFill="1" applyBorder="1" applyAlignment="1">
      <alignment wrapText="1"/>
    </xf>
    <xf numFmtId="0" fontId="11" fillId="0" borderId="0" xfId="0" applyFont="1" applyFill="1" applyBorder="1" applyAlignment="1">
      <alignment wrapText="1"/>
    </xf>
    <xf numFmtId="0" fontId="11" fillId="4" borderId="22" xfId="0" applyFont="1" applyFill="1" applyBorder="1" applyAlignment="1">
      <alignment wrapText="1"/>
    </xf>
    <xf numFmtId="0" fontId="11" fillId="4" borderId="23" xfId="0" applyFont="1" applyFill="1" applyBorder="1" applyAlignment="1">
      <alignment wrapText="1"/>
    </xf>
    <xf numFmtId="0" fontId="11" fillId="4" borderId="24" xfId="0" applyFont="1" applyFill="1" applyBorder="1" applyAlignment="1">
      <alignment wrapText="1"/>
    </xf>
    <xf numFmtId="0" fontId="11" fillId="0" borderId="25" xfId="0" applyFont="1" applyFill="1" applyBorder="1" applyAlignment="1">
      <alignment wrapText="1"/>
    </xf>
    <xf numFmtId="0" fontId="0" fillId="0" borderId="25" xfId="0" applyFill="1" applyBorder="1" applyAlignment="1">
      <alignment/>
    </xf>
    <xf numFmtId="0" fontId="0" fillId="4" borderId="20" xfId="0" applyFill="1" applyBorder="1" applyAlignment="1">
      <alignment/>
    </xf>
    <xf numFmtId="0" fontId="0" fillId="0" borderId="26" xfId="0" applyBorder="1" applyAlignment="1">
      <alignment/>
    </xf>
    <xf numFmtId="0" fontId="11" fillId="12" borderId="1" xfId="0" applyFont="1" applyFill="1" applyBorder="1" applyAlignment="1">
      <alignment wrapText="1"/>
    </xf>
    <xf numFmtId="0" fontId="1" fillId="2" borderId="0" xfId="0" applyFont="1" applyFill="1" applyAlignment="1">
      <alignment/>
    </xf>
    <xf numFmtId="0" fontId="8" fillId="2" borderId="0" xfId="0" applyFont="1" applyFill="1" applyAlignment="1">
      <alignment/>
    </xf>
    <xf numFmtId="0" fontId="11" fillId="4" borderId="27" xfId="0" applyFont="1" applyFill="1" applyBorder="1" applyAlignment="1">
      <alignment wrapText="1"/>
    </xf>
    <xf numFmtId="0" fontId="11" fillId="4" borderId="28" xfId="0" applyFont="1" applyFill="1" applyBorder="1" applyAlignment="1">
      <alignment wrapText="1"/>
    </xf>
    <xf numFmtId="0" fontId="11" fillId="4" borderId="29" xfId="0" applyFont="1" applyFill="1" applyBorder="1" applyAlignment="1">
      <alignment wrapText="1"/>
    </xf>
    <xf numFmtId="0" fontId="5" fillId="8" borderId="0" xfId="0" applyFont="1" applyFill="1" applyAlignment="1">
      <alignment/>
    </xf>
    <xf numFmtId="0" fontId="26" fillId="2" borderId="0" xfId="0" applyFont="1" applyFill="1" applyAlignment="1">
      <alignment/>
    </xf>
    <xf numFmtId="0" fontId="27" fillId="2" borderId="0" xfId="0" applyFont="1" applyFill="1" applyAlignment="1">
      <alignment/>
    </xf>
    <xf numFmtId="1" fontId="1" fillId="0" borderId="0" xfId="0" applyNumberFormat="1" applyFont="1" applyAlignment="1">
      <alignment/>
    </xf>
    <xf numFmtId="174" fontId="26" fillId="2" borderId="0" xfId="0" applyNumberFormat="1" applyFont="1" applyFill="1" applyAlignment="1">
      <alignment/>
    </xf>
    <xf numFmtId="4" fontId="0" fillId="0" borderId="11" xfId="0" applyNumberFormat="1" applyBorder="1" applyAlignment="1">
      <alignment/>
    </xf>
    <xf numFmtId="1" fontId="8" fillId="2" borderId="0" xfId="0" applyNumberFormat="1" applyFont="1" applyFill="1" applyAlignment="1">
      <alignment/>
    </xf>
    <xf numFmtId="1" fontId="26" fillId="2" borderId="0" xfId="0" applyNumberFormat="1" applyFont="1" applyFill="1" applyAlignment="1">
      <alignment/>
    </xf>
    <xf numFmtId="0" fontId="5" fillId="13" borderId="0" xfId="0" applyFont="1" applyFill="1" applyAlignment="1">
      <alignment/>
    </xf>
    <xf numFmtId="9" fontId="1" fillId="0" borderId="0" xfId="21" applyFont="1" applyAlignment="1">
      <alignment/>
    </xf>
    <xf numFmtId="0" fontId="1" fillId="4" borderId="0" xfId="0" applyFont="1" applyFill="1" applyAlignment="1">
      <alignment/>
    </xf>
    <xf numFmtId="0" fontId="11" fillId="0" borderId="0" xfId="0" applyFont="1" applyBorder="1" applyAlignment="1">
      <alignment wrapText="1"/>
    </xf>
    <xf numFmtId="2" fontId="27" fillId="2" borderId="0" xfId="0" applyNumberFormat="1" applyFont="1" applyFill="1" applyAlignment="1">
      <alignment/>
    </xf>
    <xf numFmtId="190" fontId="0" fillId="0" borderId="0" xfId="0" applyNumberFormat="1" applyAlignment="1">
      <alignment/>
    </xf>
    <xf numFmtId="0" fontId="0" fillId="2" borderId="0" xfId="0" applyFill="1" applyAlignment="1">
      <alignment wrapText="1"/>
    </xf>
    <xf numFmtId="1" fontId="8" fillId="4" borderId="0" xfId="0" applyNumberFormat="1" applyFont="1" applyFill="1" applyAlignment="1">
      <alignment/>
    </xf>
    <xf numFmtId="1" fontId="1" fillId="4" borderId="0" xfId="0" applyNumberFormat="1" applyFont="1" applyFill="1" applyAlignment="1">
      <alignment/>
    </xf>
    <xf numFmtId="9" fontId="1" fillId="4" borderId="0" xfId="21" applyFont="1" applyFill="1" applyAlignment="1">
      <alignment/>
    </xf>
    <xf numFmtId="190" fontId="0" fillId="4" borderId="0" xfId="0" applyNumberFormat="1" applyFill="1" applyAlignment="1">
      <alignment/>
    </xf>
    <xf numFmtId="2" fontId="5" fillId="5" borderId="3" xfId="0" applyNumberFormat="1" applyFont="1" applyFill="1" applyBorder="1" applyAlignment="1">
      <alignment/>
    </xf>
    <xf numFmtId="2" fontId="5" fillId="5" borderId="25" xfId="0" applyNumberFormat="1" applyFont="1" applyFill="1" applyBorder="1" applyAlignment="1">
      <alignment/>
    </xf>
    <xf numFmtId="2" fontId="5" fillId="5" borderId="4" xfId="0" applyNumberFormat="1" applyFont="1" applyFill="1" applyBorder="1" applyAlignment="1">
      <alignment/>
    </xf>
    <xf numFmtId="2" fontId="5" fillId="5" borderId="30" xfId="0" applyNumberFormat="1" applyFont="1" applyFill="1" applyBorder="1" applyAlignment="1">
      <alignment/>
    </xf>
    <xf numFmtId="2" fontId="5" fillId="5" borderId="0" xfId="0" applyNumberFormat="1" applyFont="1" applyFill="1" applyBorder="1" applyAlignment="1">
      <alignment/>
    </xf>
    <xf numFmtId="2" fontId="5" fillId="5" borderId="31" xfId="0" applyNumberFormat="1" applyFont="1" applyFill="1" applyBorder="1" applyAlignment="1">
      <alignment/>
    </xf>
    <xf numFmtId="2" fontId="5" fillId="5" borderId="32" xfId="0" applyNumberFormat="1" applyFont="1" applyFill="1" applyBorder="1" applyAlignment="1">
      <alignment/>
    </xf>
    <xf numFmtId="2" fontId="5" fillId="5" borderId="33" xfId="0" applyNumberFormat="1" applyFont="1" applyFill="1" applyBorder="1" applyAlignment="1">
      <alignment/>
    </xf>
    <xf numFmtId="2" fontId="5" fillId="5" borderId="34" xfId="0" applyNumberFormat="1" applyFont="1" applyFill="1" applyBorder="1" applyAlignment="1">
      <alignment/>
    </xf>
    <xf numFmtId="0" fontId="8" fillId="4" borderId="0" xfId="0" applyFont="1" applyFill="1" applyAlignment="1">
      <alignment wrapText="1"/>
    </xf>
    <xf numFmtId="0" fontId="8" fillId="4" borderId="0" xfId="0" applyFont="1" applyFill="1" applyAlignment="1">
      <alignment/>
    </xf>
    <xf numFmtId="173" fontId="0" fillId="0" borderId="0" xfId="0" applyNumberFormat="1" applyAlignment="1">
      <alignment/>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35"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1" fillId="0" borderId="39" xfId="0" applyFont="1" applyFill="1" applyBorder="1" applyAlignment="1">
      <alignment/>
    </xf>
    <xf numFmtId="0" fontId="0" fillId="0" borderId="38" xfId="0" applyFont="1" applyBorder="1" applyAlignment="1">
      <alignment/>
    </xf>
    <xf numFmtId="1" fontId="0" fillId="0" borderId="0" xfId="0" applyNumberFormat="1" applyBorder="1" applyAlignment="1">
      <alignment/>
    </xf>
    <xf numFmtId="174" fontId="0" fillId="0" borderId="0" xfId="0" applyNumberFormat="1" applyBorder="1" applyAlignment="1">
      <alignment/>
    </xf>
    <xf numFmtId="1" fontId="0" fillId="0" borderId="39" xfId="0" applyNumberFormat="1" applyBorder="1" applyAlignment="1">
      <alignment/>
    </xf>
    <xf numFmtId="174" fontId="0" fillId="0" borderId="39" xfId="0" applyNumberFormat="1" applyBorder="1" applyAlignment="1">
      <alignment/>
    </xf>
    <xf numFmtId="0" fontId="1" fillId="0" borderId="40" xfId="0" applyFont="1" applyBorder="1" applyAlignment="1">
      <alignment wrapText="1"/>
    </xf>
    <xf numFmtId="1" fontId="1" fillId="0" borderId="41" xfId="0" applyNumberFormat="1" applyFont="1" applyBorder="1" applyAlignment="1">
      <alignment wrapText="1"/>
    </xf>
    <xf numFmtId="174" fontId="1" fillId="0" borderId="41" xfId="0" applyNumberFormat="1" applyFont="1" applyBorder="1" applyAlignment="1">
      <alignment wrapText="1"/>
    </xf>
    <xf numFmtId="1" fontId="1" fillId="0" borderId="42" xfId="0" applyNumberFormat="1" applyFont="1" applyBorder="1" applyAlignment="1">
      <alignment wrapText="1"/>
    </xf>
    <xf numFmtId="2" fontId="0" fillId="0" borderId="0" xfId="0" applyNumberFormat="1" applyBorder="1" applyAlignment="1">
      <alignment/>
    </xf>
    <xf numFmtId="0" fontId="1" fillId="0" borderId="38" xfId="0" applyFont="1" applyBorder="1" applyAlignment="1">
      <alignment/>
    </xf>
    <xf numFmtId="0" fontId="0" fillId="0" borderId="39" xfId="0" applyBorder="1" applyAlignment="1">
      <alignment/>
    </xf>
    <xf numFmtId="0" fontId="1" fillId="0" borderId="41" xfId="0" applyFont="1" applyBorder="1" applyAlignment="1">
      <alignment wrapText="1"/>
    </xf>
    <xf numFmtId="0" fontId="1" fillId="0" borderId="42" xfId="0" applyFont="1" applyBorder="1" applyAlignment="1">
      <alignment wrapText="1"/>
    </xf>
    <xf numFmtId="0" fontId="0" fillId="0" borderId="41" xfId="0" applyBorder="1" applyAlignment="1">
      <alignment horizontal="left" vertical="center" wrapText="1"/>
    </xf>
    <xf numFmtId="175" fontId="1" fillId="0" borderId="15" xfId="0" applyNumberFormat="1" applyFont="1" applyFill="1" applyBorder="1" applyAlignment="1">
      <alignment/>
    </xf>
    <xf numFmtId="0" fontId="0" fillId="0" borderId="0" xfId="0" applyFont="1" applyAlignment="1">
      <alignment horizontal="right"/>
    </xf>
    <xf numFmtId="0" fontId="39" fillId="0" borderId="0" xfId="0" applyFont="1" applyAlignment="1">
      <alignment/>
    </xf>
    <xf numFmtId="0" fontId="0" fillId="0" borderId="0" xfId="0" applyFont="1" applyAlignment="1">
      <alignment horizontal="right" wrapText="1"/>
    </xf>
    <xf numFmtId="0" fontId="0" fillId="0" borderId="3" xfId="0" applyBorder="1" applyAlignment="1">
      <alignment/>
    </xf>
    <xf numFmtId="0" fontId="1" fillId="0" borderId="25" xfId="0" applyFont="1" applyBorder="1" applyAlignment="1">
      <alignment wrapText="1"/>
    </xf>
    <xf numFmtId="0" fontId="1" fillId="0" borderId="4" xfId="0" applyFont="1" applyBorder="1" applyAlignment="1">
      <alignment wrapText="1"/>
    </xf>
    <xf numFmtId="0" fontId="0" fillId="0" borderId="30" xfId="0" applyFont="1" applyBorder="1" applyAlignment="1">
      <alignment/>
    </xf>
    <xf numFmtId="0" fontId="0" fillId="0" borderId="0" xfId="0" applyBorder="1" applyAlignment="1">
      <alignment horizontal="center"/>
    </xf>
    <xf numFmtId="0" fontId="0" fillId="0" borderId="31" xfId="0" applyBorder="1" applyAlignment="1">
      <alignment horizontal="center"/>
    </xf>
    <xf numFmtId="0" fontId="0" fillId="0" borderId="32" xfId="0" applyFont="1"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43"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11" fillId="12" borderId="45" xfId="0" applyFont="1" applyFill="1" applyBorder="1" applyAlignment="1">
      <alignment horizontal="left" vertical="top" wrapText="1"/>
    </xf>
    <xf numFmtId="0" fontId="0" fillId="0" borderId="11" xfId="0" applyFill="1" applyBorder="1" applyAlignment="1">
      <alignment/>
    </xf>
    <xf numFmtId="10" fontId="0" fillId="0" borderId="0" xfId="21" applyNumberFormat="1" applyAlignment="1">
      <alignment/>
    </xf>
    <xf numFmtId="0" fontId="0" fillId="12" borderId="0" xfId="0" applyFont="1" applyFill="1" applyBorder="1" applyAlignment="1">
      <alignment wrapText="1"/>
    </xf>
    <xf numFmtId="189" fontId="0" fillId="12" borderId="0" xfId="0" applyNumberFormat="1" applyFont="1" applyFill="1" applyBorder="1" applyAlignment="1">
      <alignment wrapText="1"/>
    </xf>
    <xf numFmtId="0" fontId="0" fillId="12" borderId="0" xfId="0" applyFont="1" applyFill="1" applyBorder="1" applyAlignment="1">
      <alignment/>
    </xf>
    <xf numFmtId="2" fontId="0" fillId="12" borderId="0" xfId="0" applyNumberFormat="1" applyFont="1" applyFill="1" applyBorder="1" applyAlignment="1">
      <alignment wrapText="1"/>
    </xf>
    <xf numFmtId="10" fontId="1" fillId="0" borderId="0" xfId="21" applyNumberFormat="1" applyFont="1" applyAlignment="1">
      <alignment/>
    </xf>
    <xf numFmtId="0" fontId="0" fillId="14" borderId="0" xfId="0" applyFill="1" applyAlignment="1">
      <alignment/>
    </xf>
    <xf numFmtId="172" fontId="1" fillId="14" borderId="0" xfId="0" applyNumberFormat="1" applyFont="1" applyFill="1" applyAlignment="1">
      <alignment/>
    </xf>
    <xf numFmtId="2" fontId="1" fillId="0" borderId="0" xfId="21" applyNumberFormat="1" applyFont="1" applyAlignment="1">
      <alignment/>
    </xf>
    <xf numFmtId="173" fontId="1" fillId="0" borderId="0" xfId="0" applyNumberFormat="1" applyFont="1" applyAlignment="1">
      <alignment/>
    </xf>
    <xf numFmtId="1" fontId="26" fillId="2" borderId="0" xfId="0" applyNumberFormat="1" applyFont="1" applyFill="1" applyAlignment="1">
      <alignment horizontal="left" indent="1"/>
    </xf>
    <xf numFmtId="9" fontId="26" fillId="2" borderId="0" xfId="21" applyFont="1" applyFill="1" applyAlignment="1">
      <alignment/>
    </xf>
    <xf numFmtId="186" fontId="1" fillId="0" borderId="0" xfId="21" applyNumberFormat="1" applyFont="1" applyAlignment="1">
      <alignment/>
    </xf>
    <xf numFmtId="186" fontId="1" fillId="0" borderId="0" xfId="0" applyNumberFormat="1" applyFont="1" applyAlignment="1">
      <alignment/>
    </xf>
    <xf numFmtId="186" fontId="26" fillId="2" borderId="0" xfId="21" applyNumberFormat="1" applyFont="1" applyFill="1" applyAlignment="1">
      <alignment/>
    </xf>
    <xf numFmtId="0" fontId="41" fillId="0" borderId="0" xfId="0" applyFont="1" applyAlignment="1">
      <alignment/>
    </xf>
    <xf numFmtId="14" fontId="0" fillId="0" borderId="0" xfId="0" applyNumberFormat="1" applyAlignment="1">
      <alignment/>
    </xf>
    <xf numFmtId="21" fontId="0" fillId="0" borderId="0" xfId="0" applyNumberFormat="1" applyAlignment="1">
      <alignment/>
    </xf>
    <xf numFmtId="0" fontId="42" fillId="0" borderId="0" xfId="0" applyFont="1" applyAlignment="1">
      <alignment/>
    </xf>
    <xf numFmtId="173" fontId="1" fillId="0" borderId="0" xfId="0" applyNumberFormat="1" applyFont="1" applyAlignment="1">
      <alignment/>
    </xf>
    <xf numFmtId="173" fontId="8" fillId="0" borderId="0" xfId="0" applyNumberFormat="1" applyFont="1" applyAlignment="1">
      <alignment/>
    </xf>
    <xf numFmtId="0" fontId="1" fillId="9" borderId="0" xfId="0" applyFont="1" applyFill="1" applyBorder="1" applyAlignment="1">
      <alignment/>
    </xf>
    <xf numFmtId="173" fontId="0" fillId="0" borderId="0" xfId="0" applyNumberFormat="1" applyFont="1" applyFill="1" applyAlignment="1">
      <alignment/>
    </xf>
    <xf numFmtId="10" fontId="1" fillId="4" borderId="0" xfId="21" applyNumberFormat="1" applyFont="1" applyFill="1" applyAlignment="1">
      <alignment/>
    </xf>
    <xf numFmtId="2" fontId="43" fillId="4" borderId="0" xfId="21" applyNumberFormat="1" applyFont="1" applyFill="1" applyAlignment="1">
      <alignment/>
    </xf>
    <xf numFmtId="1" fontId="1" fillId="0" borderId="0" xfId="0" applyNumberFormat="1" applyFont="1" applyFill="1" applyAlignment="1">
      <alignment/>
    </xf>
    <xf numFmtId="2" fontId="0" fillId="0" borderId="0" xfId="0" applyNumberFormat="1" applyFont="1" applyFill="1" applyAlignment="1">
      <alignment/>
    </xf>
    <xf numFmtId="1" fontId="0" fillId="0" borderId="0" xfId="0" applyNumberFormat="1" applyFont="1" applyFill="1" applyAlignment="1">
      <alignment/>
    </xf>
    <xf numFmtId="175" fontId="8" fillId="15" borderId="0" xfId="0" applyNumberFormat="1" applyFont="1" applyFill="1" applyAlignment="1">
      <alignment/>
    </xf>
    <xf numFmtId="16" fontId="0" fillId="0" borderId="0" xfId="0" applyNumberFormat="1" applyAlignment="1">
      <alignment/>
    </xf>
    <xf numFmtId="0" fontId="1" fillId="0" borderId="0" xfId="0" applyFont="1" applyBorder="1" applyAlignment="1">
      <alignment/>
    </xf>
    <xf numFmtId="0" fontId="1" fillId="0" borderId="39" xfId="0" applyFont="1" applyBorder="1" applyAlignment="1">
      <alignment/>
    </xf>
    <xf numFmtId="174" fontId="1" fillId="0" borderId="42" xfId="0" applyNumberFormat="1" applyFont="1" applyBorder="1" applyAlignment="1">
      <alignment wrapText="1"/>
    </xf>
    <xf numFmtId="2" fontId="1" fillId="0" borderId="41" xfId="0" applyNumberFormat="1" applyFont="1" applyBorder="1" applyAlignment="1">
      <alignment wrapText="1"/>
    </xf>
    <xf numFmtId="186" fontId="26" fillId="2" borderId="0" xfId="21" applyNumberFormat="1" applyFont="1" applyFill="1" applyAlignment="1">
      <alignment/>
    </xf>
    <xf numFmtId="1" fontId="26" fillId="2" borderId="0" xfId="21" applyNumberFormat="1" applyFont="1" applyFill="1" applyAlignment="1">
      <alignment/>
    </xf>
    <xf numFmtId="174" fontId="23" fillId="0" borderId="0" xfId="0" applyNumberFormat="1" applyFont="1" applyFill="1" applyBorder="1" applyAlignment="1">
      <alignment horizontal="center"/>
    </xf>
    <xf numFmtId="186" fontId="23" fillId="0" borderId="0" xfId="21" applyNumberFormat="1" applyFont="1" applyFill="1" applyBorder="1" applyAlignment="1">
      <alignment horizontal="center"/>
    </xf>
    <xf numFmtId="186" fontId="23" fillId="0" borderId="0" xfId="21" applyNumberFormat="1" applyFont="1" applyFill="1" applyBorder="1" applyAlignment="1">
      <alignment horizontal="right" indent="1"/>
    </xf>
    <xf numFmtId="186" fontId="23" fillId="0" borderId="4" xfId="21" applyNumberFormat="1" applyFont="1" applyFill="1" applyBorder="1" applyAlignment="1">
      <alignment horizontal="right" indent="1"/>
    </xf>
    <xf numFmtId="186" fontId="23" fillId="0" borderId="31" xfId="21" applyNumberFormat="1" applyFont="1" applyFill="1" applyBorder="1" applyAlignment="1">
      <alignment horizontal="right" indent="1"/>
    </xf>
    <xf numFmtId="186" fontId="23" fillId="0" borderId="34" xfId="21" applyNumberFormat="1" applyFont="1" applyFill="1" applyBorder="1" applyAlignment="1">
      <alignment horizontal="right" indent="1"/>
    </xf>
    <xf numFmtId="0" fontId="44" fillId="0" borderId="3" xfId="0" applyFont="1" applyFill="1" applyBorder="1" applyAlignment="1">
      <alignment horizontal="left"/>
    </xf>
    <xf numFmtId="0" fontId="44" fillId="0" borderId="30" xfId="0" applyFont="1" applyFill="1" applyBorder="1" applyAlignment="1">
      <alignment horizontal="left"/>
    </xf>
    <xf numFmtId="174" fontId="44" fillId="0" borderId="0" xfId="0" applyNumberFormat="1" applyFont="1" applyFill="1" applyBorder="1" applyAlignment="1">
      <alignment horizontal="center"/>
    </xf>
    <xf numFmtId="1" fontId="44" fillId="0" borderId="0" xfId="0" applyNumberFormat="1" applyFont="1" applyFill="1" applyBorder="1" applyAlignment="1">
      <alignment horizontal="center"/>
    </xf>
    <xf numFmtId="0" fontId="44" fillId="0" borderId="32" xfId="0" applyFont="1" applyFill="1" applyBorder="1" applyAlignment="1">
      <alignment horizontal="left"/>
    </xf>
    <xf numFmtId="1" fontId="44" fillId="0" borderId="33" xfId="0" applyNumberFormat="1" applyFont="1" applyFill="1" applyBorder="1" applyAlignment="1">
      <alignment horizontal="center"/>
    </xf>
    <xf numFmtId="0" fontId="23" fillId="0" borderId="1" xfId="0" applyFont="1" applyFill="1" applyBorder="1" applyAlignment="1">
      <alignment horizontal="left" wrapText="1"/>
    </xf>
    <xf numFmtId="174" fontId="23" fillId="0" borderId="46" xfId="0" applyNumberFormat="1" applyFont="1" applyFill="1" applyBorder="1" applyAlignment="1">
      <alignment horizontal="center" wrapText="1"/>
    </xf>
    <xf numFmtId="1" fontId="23" fillId="0" borderId="46" xfId="0" applyNumberFormat="1" applyFont="1" applyFill="1" applyBorder="1" applyAlignment="1">
      <alignment horizontal="center"/>
    </xf>
    <xf numFmtId="0" fontId="23" fillId="0" borderId="2" xfId="0" applyFont="1" applyFill="1" applyBorder="1" applyAlignment="1">
      <alignment horizontal="center" wrapText="1"/>
    </xf>
    <xf numFmtId="0" fontId="44" fillId="0" borderId="32" xfId="0" applyFont="1" applyFill="1" applyBorder="1" applyAlignment="1">
      <alignment horizontal="left" wrapText="1"/>
    </xf>
    <xf numFmtId="174" fontId="44" fillId="0" borderId="33" xfId="0" applyNumberFormat="1" applyFont="1" applyFill="1" applyBorder="1" applyAlignment="1">
      <alignment horizontal="center"/>
    </xf>
    <xf numFmtId="0" fontId="23" fillId="0" borderId="1" xfId="0" applyFont="1" applyFill="1" applyBorder="1" applyAlignment="1">
      <alignment horizontal="center" wrapText="1"/>
    </xf>
    <xf numFmtId="0" fontId="23" fillId="0" borderId="46" xfId="0" applyFont="1" applyFill="1" applyBorder="1" applyAlignment="1">
      <alignment horizontal="center" wrapText="1"/>
    </xf>
    <xf numFmtId="0" fontId="23" fillId="0" borderId="46" xfId="0" applyFont="1" applyFill="1" applyBorder="1" applyAlignment="1">
      <alignment horizontal="left"/>
    </xf>
    <xf numFmtId="173" fontId="5" fillId="0" borderId="0" xfId="21" applyNumberFormat="1" applyFont="1" applyAlignment="1">
      <alignment/>
    </xf>
    <xf numFmtId="173" fontId="0" fillId="0" borderId="0" xfId="21" applyNumberFormat="1" applyAlignment="1">
      <alignment/>
    </xf>
    <xf numFmtId="0" fontId="0" fillId="0" borderId="36" xfId="0" applyBorder="1" applyAlignment="1">
      <alignment horizontal="center"/>
    </xf>
    <xf numFmtId="173" fontId="0" fillId="0" borderId="0" xfId="21" applyNumberFormat="1" applyFont="1" applyAlignment="1">
      <alignment/>
    </xf>
    <xf numFmtId="186" fontId="23" fillId="0" borderId="34" xfId="21" applyNumberFormat="1" applyFont="1" applyFill="1" applyBorder="1" applyAlignment="1">
      <alignment horizontal="right" wrapText="1" indent="1"/>
    </xf>
    <xf numFmtId="0" fontId="44" fillId="0" borderId="3" xfId="0" applyFont="1" applyFill="1" applyBorder="1" applyAlignment="1">
      <alignment horizontal="left" wrapText="1"/>
    </xf>
    <xf numFmtId="1" fontId="44" fillId="0" borderId="25" xfId="0" applyNumberFormat="1" applyFont="1" applyFill="1" applyBorder="1" applyAlignment="1">
      <alignment horizontal="center"/>
    </xf>
    <xf numFmtId="9" fontId="0" fillId="4" borderId="0" xfId="0" applyNumberFormat="1" applyFill="1" applyAlignment="1">
      <alignment/>
    </xf>
    <xf numFmtId="173" fontId="26" fillId="2" borderId="0" xfId="0" applyNumberFormat="1" applyFont="1" applyFill="1" applyAlignment="1">
      <alignment/>
    </xf>
    <xf numFmtId="0" fontId="0" fillId="0" borderId="0" xfId="0"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41" xfId="0" applyBorder="1" applyAlignment="1">
      <alignment horizontal="left" vertical="center" wrapText="1"/>
    </xf>
    <xf numFmtId="0" fontId="27" fillId="4" borderId="0" xfId="0" applyFont="1" applyFill="1" applyAlignment="1">
      <alignment wrapText="1"/>
    </xf>
    <xf numFmtId="0" fontId="14" fillId="0" borderId="0" xfId="0" applyFont="1" applyAlignment="1">
      <alignment wrapText="1"/>
    </xf>
    <xf numFmtId="0" fontId="0" fillId="0" borderId="0" xfId="0" applyFont="1" applyAlignment="1">
      <alignment wrapText="1"/>
    </xf>
    <xf numFmtId="0" fontId="0" fillId="0" borderId="0" xfId="0" applyAlignment="1">
      <alignment wrapText="1"/>
    </xf>
    <xf numFmtId="0" fontId="11" fillId="4" borderId="16" xfId="0" applyFont="1" applyFill="1" applyBorder="1" applyAlignment="1">
      <alignment horizontal="center" wrapText="1"/>
    </xf>
    <xf numFmtId="0" fontId="0" fillId="0" borderId="22" xfId="0" applyBorder="1" applyAlignment="1">
      <alignment horizontal="center" wrapText="1"/>
    </xf>
    <xf numFmtId="0" fontId="11" fillId="7"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32" xfId="0" applyBorder="1" applyAlignment="1">
      <alignment horizontal="left" vertical="center" wrapText="1"/>
    </xf>
    <xf numFmtId="0" fontId="0" fillId="0" borderId="34" xfId="0" applyBorder="1" applyAlignment="1">
      <alignment horizontal="left" vertical="center" wrapText="1"/>
    </xf>
    <xf numFmtId="0" fontId="40" fillId="0" borderId="0" xfId="0" applyFont="1" applyAlignment="1">
      <alignment wrapText="1"/>
    </xf>
    <xf numFmtId="0" fontId="1" fillId="0" borderId="0" xfId="0" applyFont="1" applyAlignment="1">
      <alignment wrapText="1"/>
    </xf>
    <xf numFmtId="0" fontId="11" fillId="12" borderId="46" xfId="0" applyFont="1" applyFill="1" applyBorder="1" applyAlignment="1">
      <alignment horizontal="center" wrapText="1"/>
    </xf>
    <xf numFmtId="0" fontId="11" fillId="12" borderId="2" xfId="0" applyFont="1" applyFill="1" applyBorder="1" applyAlignment="1">
      <alignment horizontal="center" wrapText="1"/>
    </xf>
    <xf numFmtId="0" fontId="24" fillId="0" borderId="33" xfId="0" applyFont="1" applyFill="1" applyBorder="1" applyAlignment="1">
      <alignment horizontal="left" wrapText="1"/>
    </xf>
    <xf numFmtId="0" fontId="25" fillId="0" borderId="33" xfId="0" applyFont="1" applyBorder="1" applyAlignment="1">
      <alignment wrapText="1"/>
    </xf>
    <xf numFmtId="0" fontId="1" fillId="0" borderId="11" xfId="0" applyFont="1" applyBorder="1" applyAlignment="1">
      <alignment wrapText="1"/>
    </xf>
    <xf numFmtId="0" fontId="0" fillId="0" borderId="11" xfId="0" applyBorder="1" applyAlignment="1">
      <alignment wrapText="1"/>
    </xf>
    <xf numFmtId="0" fontId="23" fillId="0" borderId="1" xfId="0" applyFont="1" applyBorder="1" applyAlignment="1">
      <alignment horizontal="left" vertical="top" wrapText="1"/>
    </xf>
    <xf numFmtId="0" fontId="23" fillId="0" borderId="45" xfId="0" applyFont="1" applyBorder="1" applyAlignment="1">
      <alignment wrapText="1"/>
    </xf>
    <xf numFmtId="0" fontId="11" fillId="12" borderId="1" xfId="0" applyFont="1" applyFill="1" applyBorder="1" applyAlignment="1">
      <alignment horizontal="left" vertical="top" wrapText="1"/>
    </xf>
    <xf numFmtId="0" fontId="0" fillId="0" borderId="46" xfId="0" applyBorder="1" applyAlignment="1">
      <alignment/>
    </xf>
    <xf numFmtId="0" fontId="25" fillId="0" borderId="47" xfId="0" applyFont="1" applyBorder="1" applyAlignment="1">
      <alignment wrapText="1"/>
    </xf>
    <xf numFmtId="0" fontId="0" fillId="0" borderId="46" xfId="0" applyBorder="1" applyAlignment="1">
      <alignment horizontal="left" vertical="top" wrapText="1"/>
    </xf>
    <xf numFmtId="2" fontId="8" fillId="0" borderId="6" xfId="0" applyNumberFormat="1" applyFont="1" applyBorder="1" applyAlignment="1">
      <alignment vertical="center" wrapText="1"/>
    </xf>
    <xf numFmtId="0" fontId="0" fillId="0" borderId="6" xfId="0"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Arial"/>
                <a:ea typeface="Arial"/>
                <a:cs typeface="Arial"/>
              </a:rPr>
              <a:t>Land PCA 1 vs DIN </a:t>
            </a:r>
          </a:p>
        </c:rich>
      </c:tx>
      <c:layout/>
      <c:spPr>
        <a:noFill/>
        <a:ln>
          <a:noFill/>
        </a:ln>
      </c:spPr>
    </c:title>
    <c:plotArea>
      <c:layout/>
      <c:scatterChart>
        <c:scatterStyle val="lineMarker"/>
        <c:varyColors val="0"/>
        <c:ser>
          <c:idx val="0"/>
          <c:order val="0"/>
          <c:tx>
            <c:strRef>
              <c:f>Pop_landcover_effects_on_DIN!#REF!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strRef>
              <c:f>Pop_landcover_effects_on_DIN!#REF!</c:f>
              <c:strCache>
                <c:ptCount val="1"/>
                <c:pt idx="0">
                  <c:v>1</c:v>
                </c:pt>
              </c:strCache>
            </c:strRef>
          </c:xVal>
          <c:yVal>
            <c:numRef>
              <c:f>Pop_landcover_effects_on_DIN!#REF!</c:f>
              <c:numCache>
                <c:ptCount val="1"/>
                <c:pt idx="0">
                  <c:v>1</c:v>
                </c:pt>
              </c:numCache>
            </c:numRef>
          </c:yVal>
          <c:smooth val="0"/>
        </c:ser>
        <c:axId val="33835892"/>
        <c:axId val="49597653"/>
      </c:scatterChart>
      <c:valAx>
        <c:axId val="33835892"/>
        <c:scaling>
          <c:orientation val="minMax"/>
        </c:scaling>
        <c:axPos val="b"/>
        <c:title>
          <c:tx>
            <c:rich>
              <a:bodyPr vert="horz" rot="0" anchor="ctr"/>
              <a:lstStyle/>
              <a:p>
                <a:pPr algn="ctr">
                  <a:defRPr/>
                </a:pPr>
                <a:r>
                  <a:rPr lang="en-US" cap="none" sz="150" b="1" i="0" u="none" baseline="0">
                    <a:latin typeface="Arial"/>
                    <a:ea typeface="Arial"/>
                    <a:cs typeface="Arial"/>
                  </a:rPr>
                  <a:t>Land PCA 1 scores</a:t>
                </a:r>
              </a:p>
            </c:rich>
          </c:tx>
          <c:layout/>
          <c:overlay val="0"/>
          <c:spPr>
            <a:noFill/>
            <a:ln>
              <a:noFill/>
            </a:ln>
          </c:spPr>
        </c:title>
        <c:delete val="0"/>
        <c:numFmt formatCode="General" sourceLinked="1"/>
        <c:majorTickMark val="cross"/>
        <c:minorTickMark val="in"/>
        <c:tickLblPos val="nextTo"/>
        <c:crossAx val="49597653"/>
        <c:crosses val="autoZero"/>
        <c:crossBetween val="midCat"/>
        <c:dispUnits/>
      </c:valAx>
      <c:valAx>
        <c:axId val="49597653"/>
        <c:scaling>
          <c:orientation val="minMax"/>
        </c:scaling>
        <c:axPos val="l"/>
        <c:title>
          <c:tx>
            <c:rich>
              <a:bodyPr vert="horz" rot="-5400000" anchor="ctr"/>
              <a:lstStyle/>
              <a:p>
                <a:pPr algn="ctr">
                  <a:defRPr/>
                </a:pPr>
                <a:r>
                  <a:rPr lang="en-US" cap="none" sz="150" b="1" i="0" u="none" baseline="0">
                    <a:latin typeface="Arial"/>
                    <a:ea typeface="Arial"/>
                    <a:cs typeface="Arial"/>
                  </a:rPr>
                  <a:t>2yr Flow-Weighted DIN (ug/L)</a:t>
                </a:r>
              </a:p>
            </c:rich>
          </c:tx>
          <c:layout/>
          <c:overlay val="0"/>
          <c:spPr>
            <a:noFill/>
            <a:ln>
              <a:noFill/>
            </a:ln>
          </c:spPr>
        </c:title>
        <c:majorGridlines/>
        <c:delete val="0"/>
        <c:numFmt formatCode="General" sourceLinked="1"/>
        <c:majorTickMark val="out"/>
        <c:minorTickMark val="none"/>
        <c:tickLblPos val="nextTo"/>
        <c:crossAx val="33835892"/>
        <c:crossesAt val="-3"/>
        <c:crossBetween val="midCat"/>
        <c:dispUnits/>
      </c:valAx>
      <c:spPr>
        <a:no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Arial"/>
                <a:ea typeface="Arial"/>
                <a:cs typeface="Arial"/>
              </a:rPr>
              <a:t>Log 10( Population Density+1) vs DIN
</a:t>
            </a:r>
          </a:p>
        </c:rich>
      </c:tx>
      <c:layout/>
      <c:spPr>
        <a:noFill/>
        <a:ln>
          <a:noFill/>
        </a:ln>
      </c:spPr>
    </c:title>
    <c:plotArea>
      <c:layout/>
      <c:scatterChart>
        <c:scatterStyle val="lineMarker"/>
        <c:varyColors val="0"/>
        <c:ser>
          <c:idx val="0"/>
          <c:order val="0"/>
          <c:tx>
            <c:strRef>
              <c:f>Pop_landcover_effects_on_DIN!#REF!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strRef>
              <c:f>Pop_landcover_effects_on_DIN!#REF!</c:f>
              <c:strCache>
                <c:ptCount val="1"/>
                <c:pt idx="0">
                  <c:v>1</c:v>
                </c:pt>
              </c:strCache>
            </c:strRef>
          </c:xVal>
          <c:yVal>
            <c:numRef>
              <c:f>Pop_landcover_effects_on_DIN!#REF!</c:f>
              <c:numCache>
                <c:ptCount val="1"/>
                <c:pt idx="0">
                  <c:v>1</c:v>
                </c:pt>
              </c:numCache>
            </c:numRef>
          </c:yVal>
          <c:smooth val="0"/>
        </c:ser>
        <c:axId val="8493934"/>
        <c:axId val="14392191"/>
      </c:scatterChart>
      <c:valAx>
        <c:axId val="8493934"/>
        <c:scaling>
          <c:orientation val="minMax"/>
        </c:scaling>
        <c:axPos val="b"/>
        <c:title>
          <c:tx>
            <c:rich>
              <a:bodyPr vert="horz" rot="0" anchor="ctr"/>
              <a:lstStyle/>
              <a:p>
                <a:pPr algn="ctr">
                  <a:defRPr/>
                </a:pPr>
                <a:r>
                  <a:rPr lang="en-US" cap="none" sz="150" b="1" i="0" u="none" baseline="0">
                    <a:latin typeface="Arial"/>
                    <a:ea typeface="Arial"/>
                    <a:cs typeface="Arial"/>
                  </a:rPr>
                  <a:t>Log10 (Population Density (people/km2)+1)</a:t>
                </a:r>
              </a:p>
            </c:rich>
          </c:tx>
          <c:layout/>
          <c:overlay val="0"/>
          <c:spPr>
            <a:noFill/>
            <a:ln>
              <a:noFill/>
            </a:ln>
          </c:spPr>
        </c:title>
        <c:delete val="0"/>
        <c:numFmt formatCode="General" sourceLinked="1"/>
        <c:majorTickMark val="cross"/>
        <c:minorTickMark val="in"/>
        <c:tickLblPos val="nextTo"/>
        <c:crossAx val="14392191"/>
        <c:crosses val="autoZero"/>
        <c:crossBetween val="midCat"/>
        <c:dispUnits/>
      </c:valAx>
      <c:valAx>
        <c:axId val="14392191"/>
        <c:scaling>
          <c:orientation val="minMax"/>
        </c:scaling>
        <c:axPos val="l"/>
        <c:title>
          <c:tx>
            <c:rich>
              <a:bodyPr vert="horz" rot="-5400000" anchor="ctr"/>
              <a:lstStyle/>
              <a:p>
                <a:pPr algn="ctr">
                  <a:defRPr/>
                </a:pPr>
                <a:r>
                  <a:rPr lang="en-US" cap="none" sz="150" b="1" i="0" u="none" baseline="0">
                    <a:latin typeface="Arial"/>
                    <a:ea typeface="Arial"/>
                    <a:cs typeface="Arial"/>
                  </a:rPr>
                  <a:t>2yr Flow-Weighted DIN (ug/L)</a:t>
                </a:r>
              </a:p>
            </c:rich>
          </c:tx>
          <c:layout/>
          <c:overlay val="0"/>
          <c:spPr>
            <a:noFill/>
            <a:ln>
              <a:noFill/>
            </a:ln>
          </c:spPr>
        </c:title>
        <c:majorGridlines/>
        <c:delete val="0"/>
        <c:numFmt formatCode="General" sourceLinked="1"/>
        <c:majorTickMark val="out"/>
        <c:minorTickMark val="none"/>
        <c:tickLblPos val="nextTo"/>
        <c:crossAx val="8493934"/>
        <c:crossesAt val="-3"/>
        <c:crossBetween val="midCat"/>
        <c:dispUnits/>
      </c:valAx>
      <c:spPr>
        <a:no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Deciduous Mixed Forest vs. DIN</a:t>
            </a:r>
          </a:p>
        </c:rich>
      </c:tx>
      <c:layout/>
      <c:spPr>
        <a:noFill/>
        <a:ln>
          <a:noFill/>
        </a:ln>
      </c:spPr>
    </c:title>
    <c:plotArea>
      <c:layout/>
      <c:scatterChart>
        <c:scatterStyle val="lineMarker"/>
        <c:varyColors val="0"/>
        <c:ser>
          <c:idx val="0"/>
          <c:order val="0"/>
          <c:tx>
            <c:strRef>
              <c:f>Pop_landcover_effects_on_DIN!#REF!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dPt>
            <c:idx val="30"/>
            <c:spPr>
              <a:ln w="3175">
                <a:noFill/>
              </a:ln>
            </c:spPr>
            <c:marker>
              <c:size val="10"/>
              <c:spPr>
                <a:solidFill>
                  <a:srgbClr val="0000FF"/>
                </a:solidFill>
                <a:ln>
                  <a:solidFill>
                    <a:srgbClr val="0000FF"/>
                  </a:solidFill>
                </a:ln>
              </c:spPr>
            </c:marker>
          </c:dPt>
          <c:trendline>
            <c:trendlineType val="linear"/>
            <c:dispEq val="1"/>
            <c:dispRSqr val="1"/>
            <c:trendlineLbl>
              <c:layout>
                <c:manualLayout>
                  <c:x val="0"/>
                  <c:y val="0"/>
                </c:manualLayout>
              </c:layout>
              <c:txPr>
                <a:bodyPr vert="horz" rot="0" anchor="ctr"/>
                <a:lstStyle/>
                <a:p>
                  <a:pPr algn="ctr">
                    <a:defRPr lang="en-US" cap="none" sz="175" b="1" i="0" u="none" baseline="0">
                      <a:latin typeface="Arial"/>
                      <a:ea typeface="Arial"/>
                      <a:cs typeface="Arial"/>
                    </a:defRPr>
                  </a:pPr>
                </a:p>
              </c:txPr>
              <c:numFmt formatCode="General"/>
            </c:trendlineLbl>
          </c:trendline>
          <c:xVal>
            <c:strRef>
              <c:f>Pop_landcover_effects_on_DIN!#REF!</c:f>
              <c:strCache>
                <c:ptCount val="1"/>
                <c:pt idx="0">
                  <c:v>1</c:v>
                </c:pt>
              </c:strCache>
            </c:strRef>
          </c:xVal>
          <c:yVal>
            <c:numRef>
              <c:f>Pop_landcover_effects_on_DIN!#REF!</c:f>
              <c:numCache>
                <c:ptCount val="1"/>
                <c:pt idx="0">
                  <c:v>1</c:v>
                </c:pt>
              </c:numCache>
            </c:numRef>
          </c:yVal>
          <c:smooth val="0"/>
        </c:ser>
        <c:axId val="15048520"/>
        <c:axId val="52459273"/>
      </c:scatterChart>
      <c:valAx>
        <c:axId val="15048520"/>
        <c:scaling>
          <c:orientation val="minMax"/>
        </c:scaling>
        <c:axPos val="b"/>
        <c:title>
          <c:tx>
            <c:rich>
              <a:bodyPr vert="horz" rot="0" anchor="ctr"/>
              <a:lstStyle/>
              <a:p>
                <a:pPr algn="ctr">
                  <a:defRPr/>
                </a:pPr>
                <a:r>
                  <a:rPr lang="en-US" cap="none" sz="175" b="1" i="0" u="none" baseline="0">
                    <a:latin typeface="Arial"/>
                    <a:ea typeface="Arial"/>
                    <a:cs typeface="Arial"/>
                  </a:rPr>
                  <a:t>%Deciduous Mixed Forest</a:t>
                </a:r>
              </a:p>
            </c:rich>
          </c:tx>
          <c:layout/>
          <c:overlay val="0"/>
          <c:spPr>
            <a:noFill/>
            <a:ln>
              <a:noFill/>
            </a:ln>
          </c:spPr>
        </c:title>
        <c:delete val="0"/>
        <c:numFmt formatCode="General" sourceLinked="1"/>
        <c:majorTickMark val="out"/>
        <c:minorTickMark val="none"/>
        <c:tickLblPos val="nextTo"/>
        <c:crossAx val="52459273"/>
        <c:crosses val="autoZero"/>
        <c:crossBetween val="midCat"/>
        <c:dispUnits/>
      </c:valAx>
      <c:valAx>
        <c:axId val="52459273"/>
        <c:scaling>
          <c:orientation val="minMax"/>
        </c:scaling>
        <c:axPos val="l"/>
        <c:title>
          <c:tx>
            <c:rich>
              <a:bodyPr vert="horz" rot="-5400000" anchor="ctr"/>
              <a:lstStyle/>
              <a:p>
                <a:pPr algn="ctr">
                  <a:defRPr/>
                </a:pPr>
                <a:r>
                  <a:rPr lang="en-US" cap="none" sz="175" b="1" i="0" u="none" baseline="0">
                    <a:latin typeface="Arial"/>
                    <a:ea typeface="Arial"/>
                    <a:cs typeface="Arial"/>
                  </a:rPr>
                  <a:t>DIN (ug/L)</a:t>
                </a:r>
              </a:p>
            </c:rich>
          </c:tx>
          <c:layout/>
          <c:overlay val="0"/>
          <c:spPr>
            <a:noFill/>
            <a:ln>
              <a:noFill/>
            </a:ln>
          </c:spPr>
        </c:title>
        <c:majorGridlines/>
        <c:delete val="0"/>
        <c:numFmt formatCode="General" sourceLinked="1"/>
        <c:majorTickMark val="out"/>
        <c:minorTickMark val="none"/>
        <c:tickLblPos val="nextTo"/>
        <c:crossAx val="1504852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Pop_landcover_effects_on_DIN!#REF!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strRef>
              <c:f>Pop_landcover_effects_on_DIN!#REF!</c:f>
              <c:strCache>
                <c:ptCount val="1"/>
                <c:pt idx="0">
                  <c:v>1</c:v>
                </c:pt>
              </c:strCache>
            </c:strRef>
          </c:xVal>
          <c:yVal>
            <c:numRef>
              <c:f>Pop_landcover_effects_on_DIN!#REF!</c:f>
              <c:numCache>
                <c:ptCount val="1"/>
                <c:pt idx="0">
                  <c:v>1</c:v>
                </c:pt>
              </c:numCache>
            </c:numRef>
          </c:yVal>
          <c:smooth val="0"/>
        </c:ser>
        <c:axId val="37388546"/>
        <c:axId val="50772339"/>
      </c:scatterChart>
      <c:valAx>
        <c:axId val="37388546"/>
        <c:scaling>
          <c:orientation val="minMax"/>
        </c:scaling>
        <c:axPos val="b"/>
        <c:title>
          <c:tx>
            <c:rich>
              <a:bodyPr vert="horz" rot="0" anchor="ctr"/>
              <a:lstStyle/>
              <a:p>
                <a:pPr algn="ctr">
                  <a:defRPr/>
                </a:pPr>
                <a:r>
                  <a:rPr lang="en-US" cap="none" sz="175" b="1" i="0" u="none" baseline="0">
                    <a:latin typeface="Arial"/>
                    <a:ea typeface="Arial"/>
                    <a:cs typeface="Arial"/>
                  </a:rPr>
                  <a:t>Concentration attributable to Deciduous Mixed Forest (ug/l)</a:t>
                </a:r>
              </a:p>
            </c:rich>
          </c:tx>
          <c:layout/>
          <c:overlay val="0"/>
          <c:spPr>
            <a:noFill/>
            <a:ln>
              <a:noFill/>
            </a:ln>
          </c:spPr>
        </c:title>
        <c:delete val="0"/>
        <c:numFmt formatCode="General" sourceLinked="1"/>
        <c:majorTickMark val="out"/>
        <c:minorTickMark val="none"/>
        <c:tickLblPos val="nextTo"/>
        <c:crossAx val="50772339"/>
        <c:crosses val="autoZero"/>
        <c:crossBetween val="midCat"/>
        <c:dispUnits/>
      </c:valAx>
      <c:valAx>
        <c:axId val="50772339"/>
        <c:scaling>
          <c:orientation val="minMax"/>
        </c:scaling>
        <c:axPos val="l"/>
        <c:title>
          <c:tx>
            <c:rich>
              <a:bodyPr vert="horz" rot="-5400000" anchor="ctr"/>
              <a:lstStyle/>
              <a:p>
                <a:pPr algn="ctr">
                  <a:defRPr/>
                </a:pPr>
                <a:r>
                  <a:rPr lang="en-US" cap="none" sz="175" b="1" i="0" u="none" baseline="0">
                    <a:latin typeface="Arial"/>
                    <a:ea typeface="Arial"/>
                    <a:cs typeface="Arial"/>
                  </a:rPr>
                  <a:t>Concentration attributable to Population Density (ug/l)</a:t>
                </a:r>
              </a:p>
            </c:rich>
          </c:tx>
          <c:layout/>
          <c:overlay val="0"/>
          <c:spPr>
            <a:noFill/>
            <a:ln>
              <a:noFill/>
            </a:ln>
          </c:spPr>
        </c:title>
        <c:majorGridlines/>
        <c:delete val="0"/>
        <c:numFmt formatCode="General" sourceLinked="1"/>
        <c:majorTickMark val="out"/>
        <c:minorTickMark val="none"/>
        <c:tickLblPos val="nextTo"/>
        <c:crossAx val="3738854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Population Density</a:t>
            </a:r>
          </a:p>
        </c:rich>
      </c:tx>
      <c:layout/>
      <c:spPr>
        <a:noFill/>
        <a:ln>
          <a:noFill/>
        </a:ln>
      </c:spPr>
    </c:title>
    <c:plotArea>
      <c:layout/>
      <c:scatterChart>
        <c:scatterStyle val="lineMarker"/>
        <c:varyColors val="0"/>
        <c:ser>
          <c:idx val="0"/>
          <c:order val="0"/>
          <c:tx>
            <c:strRef>
              <c:f>Pop_landcover_effects_on_DIN!#REF!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strRef>
              <c:f>Pop_landcover_effects_on_DIN!#REF!</c:f>
              <c:strCache>
                <c:ptCount val="1"/>
                <c:pt idx="0">
                  <c:v>1</c:v>
                </c:pt>
              </c:strCache>
            </c:strRef>
          </c:xVal>
          <c:yVal>
            <c:numRef>
              <c:f>Pop_landcover_effects_on_DIN!#REF!</c:f>
              <c:numCache>
                <c:ptCount val="1"/>
                <c:pt idx="0">
                  <c:v>1</c:v>
                </c:pt>
              </c:numCache>
            </c:numRef>
          </c:yVal>
          <c:smooth val="0"/>
        </c:ser>
        <c:axId val="8342172"/>
        <c:axId val="5741757"/>
      </c:scatterChart>
      <c:valAx>
        <c:axId val="8342172"/>
        <c:scaling>
          <c:orientation val="minMax"/>
        </c:scaling>
        <c:axPos val="b"/>
        <c:title>
          <c:tx>
            <c:rich>
              <a:bodyPr vert="horz" rot="0" anchor="ctr"/>
              <a:lstStyle/>
              <a:p>
                <a:pPr algn="ctr">
                  <a:defRPr/>
                </a:pPr>
                <a:r>
                  <a:rPr lang="en-US" cap="none" sz="100" b="1" i="0" u="none" baseline="0">
                    <a:latin typeface="Arial"/>
                    <a:ea typeface="Arial"/>
                    <a:cs typeface="Arial"/>
                  </a:rPr>
                  <a:t>Population Density (people /km2)</a:t>
                </a:r>
              </a:p>
            </c:rich>
          </c:tx>
          <c:layout/>
          <c:overlay val="0"/>
          <c:spPr>
            <a:noFill/>
            <a:ln>
              <a:noFill/>
            </a:ln>
          </c:spPr>
        </c:title>
        <c:delete val="0"/>
        <c:numFmt formatCode="General" sourceLinked="1"/>
        <c:majorTickMark val="out"/>
        <c:minorTickMark val="none"/>
        <c:tickLblPos val="nextTo"/>
        <c:crossAx val="5741757"/>
        <c:crosses val="autoZero"/>
        <c:crossBetween val="midCat"/>
        <c:dispUnits/>
      </c:valAx>
      <c:valAx>
        <c:axId val="5741757"/>
        <c:scaling>
          <c:orientation val="minMax"/>
        </c:scaling>
        <c:axPos val="l"/>
        <c:title>
          <c:tx>
            <c:rich>
              <a:bodyPr vert="horz" rot="-5400000" anchor="ctr"/>
              <a:lstStyle/>
              <a:p>
                <a:pPr algn="ctr">
                  <a:defRPr/>
                </a:pPr>
                <a:r>
                  <a:rPr lang="en-US" cap="none" sz="100" b="1" i="0" u="none" baseline="0">
                    <a:latin typeface="Arial"/>
                    <a:ea typeface="Arial"/>
                    <a:cs typeface="Arial"/>
                  </a:rPr>
                  <a:t>DIN (ug/L)</a:t>
                </a:r>
              </a:p>
            </c:rich>
          </c:tx>
          <c:layout/>
          <c:overlay val="0"/>
          <c:spPr>
            <a:noFill/>
            <a:ln>
              <a:noFill/>
            </a:ln>
          </c:spPr>
        </c:title>
        <c:majorGridlines/>
        <c:delete val="0"/>
        <c:numFmt formatCode="General" sourceLinked="1"/>
        <c:majorTickMark val="out"/>
        <c:minorTickMark val="none"/>
        <c:tickLblPos val="nextTo"/>
        <c:crossAx val="834217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0.66075</cdr:x>
      <cdr:y>0.805</cdr:y>
    </cdr:from>
    <cdr:to>
      <cdr:x>0.835</cdr:x>
      <cdr:y>0.953</cdr:y>
    </cdr:to>
    <cdr:sp>
      <cdr:nvSpPr>
        <cdr:cNvPr id="1" name="TextBox 1"/>
        <cdr:cNvSpPr txBox="1">
          <a:spLocks noChangeArrowheads="1"/>
        </cdr:cNvSpPr>
      </cdr:nvSpPr>
      <cdr:spPr>
        <a:xfrm>
          <a:off x="0" y="3552825"/>
          <a:ext cx="0" cy="657225"/>
        </a:xfrm>
        <a:prstGeom prst="rect">
          <a:avLst/>
        </a:prstGeom>
        <a:noFill/>
        <a:ln w="9525" cmpd="sng">
          <a:noFill/>
        </a:ln>
      </cdr:spPr>
      <cdr:txBody>
        <a:bodyPr vertOverflow="clip" wrap="square"/>
        <a:p>
          <a:pPr algn="l">
            <a:defRPr/>
          </a:pPr>
          <a:r>
            <a:rPr lang="en-US" cap="none" sz="150" b="0" i="0" u="none" baseline="0">
              <a:solidFill>
                <a:srgbClr val="0000FF"/>
              </a:solidFill>
              <a:latin typeface="Arial"/>
              <a:ea typeface="Arial"/>
              <a:cs typeface="Arial"/>
            </a:rPr>
            <a:t>Skabob Creek (Skokomish Valley)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76200</xdr:rowOff>
    </xdr:from>
    <xdr:to>
      <xdr:col>0</xdr:col>
      <xdr:colOff>0</xdr:colOff>
      <xdr:row>67</xdr:row>
      <xdr:rowOff>142875</xdr:rowOff>
    </xdr:to>
    <xdr:pic>
      <xdr:nvPicPr>
        <xdr:cNvPr id="1" name="Picture 2"/>
        <xdr:cNvPicPr preferRelativeResize="1">
          <a:picLocks noChangeAspect="1"/>
        </xdr:cNvPicPr>
      </xdr:nvPicPr>
      <xdr:blipFill>
        <a:blip r:embed="rId1"/>
        <a:stretch>
          <a:fillRect/>
        </a:stretch>
      </xdr:blipFill>
      <xdr:spPr>
        <a:xfrm>
          <a:off x="0" y="10915650"/>
          <a:ext cx="0" cy="1038225"/>
        </a:xfrm>
        <a:prstGeom prst="rect">
          <a:avLst/>
        </a:prstGeom>
        <a:noFill/>
        <a:ln w="1" cmpd="sng">
          <a:noFill/>
        </a:ln>
      </xdr:spPr>
    </xdr:pic>
    <xdr:clientData/>
  </xdr:twoCellAnchor>
  <xdr:twoCellAnchor>
    <xdr:from>
      <xdr:col>0</xdr:col>
      <xdr:colOff>0</xdr:colOff>
      <xdr:row>1</xdr:row>
      <xdr:rowOff>95250</xdr:rowOff>
    </xdr:from>
    <xdr:to>
      <xdr:col>0</xdr:col>
      <xdr:colOff>0</xdr:colOff>
      <xdr:row>35</xdr:row>
      <xdr:rowOff>104775</xdr:rowOff>
    </xdr:to>
    <xdr:graphicFrame>
      <xdr:nvGraphicFramePr>
        <xdr:cNvPr id="2" name="Chart 3"/>
        <xdr:cNvGraphicFramePr/>
      </xdr:nvGraphicFramePr>
      <xdr:xfrm>
        <a:off x="0" y="895350"/>
        <a:ext cx="0" cy="55149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257175</xdr:rowOff>
    </xdr:from>
    <xdr:to>
      <xdr:col>0</xdr:col>
      <xdr:colOff>0</xdr:colOff>
      <xdr:row>33</xdr:row>
      <xdr:rowOff>123825</xdr:rowOff>
    </xdr:to>
    <xdr:graphicFrame>
      <xdr:nvGraphicFramePr>
        <xdr:cNvPr id="3" name="Chart 4"/>
        <xdr:cNvGraphicFramePr/>
      </xdr:nvGraphicFramePr>
      <xdr:xfrm>
        <a:off x="0" y="257175"/>
        <a:ext cx="0" cy="58483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xdr:row>
      <xdr:rowOff>0</xdr:rowOff>
    </xdr:from>
    <xdr:to>
      <xdr:col>0</xdr:col>
      <xdr:colOff>0</xdr:colOff>
      <xdr:row>31</xdr:row>
      <xdr:rowOff>47625</xdr:rowOff>
    </xdr:to>
    <xdr:graphicFrame>
      <xdr:nvGraphicFramePr>
        <xdr:cNvPr id="4" name="Chart 7"/>
        <xdr:cNvGraphicFramePr/>
      </xdr:nvGraphicFramePr>
      <xdr:xfrm>
        <a:off x="0" y="1285875"/>
        <a:ext cx="0" cy="44196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49</xdr:row>
      <xdr:rowOff>114300</xdr:rowOff>
    </xdr:from>
    <xdr:to>
      <xdr:col>0</xdr:col>
      <xdr:colOff>0</xdr:colOff>
      <xdr:row>98</xdr:row>
      <xdr:rowOff>47625</xdr:rowOff>
    </xdr:to>
    <xdr:graphicFrame>
      <xdr:nvGraphicFramePr>
        <xdr:cNvPr id="5" name="Chart 8"/>
        <xdr:cNvGraphicFramePr/>
      </xdr:nvGraphicFramePr>
      <xdr:xfrm>
        <a:off x="0" y="8686800"/>
        <a:ext cx="0" cy="81915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25</xdr:row>
      <xdr:rowOff>19050</xdr:rowOff>
    </xdr:from>
    <xdr:to>
      <xdr:col>0</xdr:col>
      <xdr:colOff>0</xdr:colOff>
      <xdr:row>48</xdr:row>
      <xdr:rowOff>142875</xdr:rowOff>
    </xdr:to>
    <xdr:graphicFrame>
      <xdr:nvGraphicFramePr>
        <xdr:cNvPr id="6" name="Chart 9"/>
        <xdr:cNvGraphicFramePr/>
      </xdr:nvGraphicFramePr>
      <xdr:xfrm>
        <a:off x="0" y="4705350"/>
        <a:ext cx="0" cy="38481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942975</xdr:colOff>
      <xdr:row>8</xdr:row>
      <xdr:rowOff>133350</xdr:rowOff>
    </xdr:from>
    <xdr:to>
      <xdr:col>56</xdr:col>
      <xdr:colOff>581025</xdr:colOff>
      <xdr:row>14</xdr:row>
      <xdr:rowOff>209550</xdr:rowOff>
    </xdr:to>
    <xdr:sp>
      <xdr:nvSpPr>
        <xdr:cNvPr id="1" name="AutoShape 48"/>
        <xdr:cNvSpPr>
          <a:spLocks/>
        </xdr:cNvSpPr>
      </xdr:nvSpPr>
      <xdr:spPr>
        <a:xfrm flipH="1">
          <a:off x="42586275" y="2857500"/>
          <a:ext cx="800100" cy="3724275"/>
        </a:xfrm>
        <a:prstGeom prst="curvedLeftArrow">
          <a:avLst>
            <a:gd name="adj1" fmla="val 25953"/>
            <a:gd name="adj2" fmla="val 40666"/>
          </a:avLst>
        </a:prstGeom>
        <a:solidFill>
          <a:srgbClr val="96969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xdr:rowOff>
    </xdr:from>
    <xdr:to>
      <xdr:col>6</xdr:col>
      <xdr:colOff>714375</xdr:colOff>
      <xdr:row>9</xdr:row>
      <xdr:rowOff>95250</xdr:rowOff>
    </xdr:to>
    <xdr:sp>
      <xdr:nvSpPr>
        <xdr:cNvPr id="2" name="AutoShape 4"/>
        <xdr:cNvSpPr>
          <a:spLocks/>
        </xdr:cNvSpPr>
      </xdr:nvSpPr>
      <xdr:spPr>
        <a:xfrm>
          <a:off x="3562350" y="2743200"/>
          <a:ext cx="1323975" cy="1028700"/>
        </a:xfrm>
        <a:prstGeom prst="bentUpArrow">
          <a:avLst>
            <a:gd name="adj1" fmla="val 12069"/>
            <a:gd name="adj2" fmla="val 38504"/>
            <a:gd name="adj3" fmla="val 1064"/>
          </a:avLst>
        </a:prstGeom>
        <a:solidFill>
          <a:srgbClr val="FFCC00">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1285875</xdr:colOff>
      <xdr:row>9</xdr:row>
      <xdr:rowOff>76200</xdr:rowOff>
    </xdr:from>
    <xdr:to>
      <xdr:col>6</xdr:col>
      <xdr:colOff>762000</xdr:colOff>
      <xdr:row>9</xdr:row>
      <xdr:rowOff>657225</xdr:rowOff>
    </xdr:to>
    <xdr:sp>
      <xdr:nvSpPr>
        <xdr:cNvPr id="3" name="AutoShape 6"/>
        <xdr:cNvSpPr>
          <a:spLocks/>
        </xdr:cNvSpPr>
      </xdr:nvSpPr>
      <xdr:spPr>
        <a:xfrm rot="21588863" flipV="1">
          <a:off x="3543300" y="3752850"/>
          <a:ext cx="1390650" cy="581025"/>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8</xdr:row>
      <xdr:rowOff>19050</xdr:rowOff>
    </xdr:from>
    <xdr:to>
      <xdr:col>27</xdr:col>
      <xdr:colOff>714375</xdr:colOff>
      <xdr:row>9</xdr:row>
      <xdr:rowOff>95250</xdr:rowOff>
    </xdr:to>
    <xdr:sp>
      <xdr:nvSpPr>
        <xdr:cNvPr id="4" name="AutoShape 20"/>
        <xdr:cNvSpPr>
          <a:spLocks/>
        </xdr:cNvSpPr>
      </xdr:nvSpPr>
      <xdr:spPr>
        <a:xfrm>
          <a:off x="21336000" y="2743200"/>
          <a:ext cx="1323975" cy="1028700"/>
        </a:xfrm>
        <a:prstGeom prst="bentUpArrow">
          <a:avLst>
            <a:gd name="adj1" fmla="val 12069"/>
            <a:gd name="adj2" fmla="val 38504"/>
            <a:gd name="adj3" fmla="val 1064"/>
          </a:avLst>
        </a:prstGeom>
        <a:solidFill>
          <a:srgbClr val="FFCC00">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57150</xdr:colOff>
      <xdr:row>9</xdr:row>
      <xdr:rowOff>76200</xdr:rowOff>
    </xdr:from>
    <xdr:to>
      <xdr:col>28</xdr:col>
      <xdr:colOff>38100</xdr:colOff>
      <xdr:row>9</xdr:row>
      <xdr:rowOff>657225</xdr:rowOff>
    </xdr:to>
    <xdr:sp>
      <xdr:nvSpPr>
        <xdr:cNvPr id="5" name="AutoShape 21"/>
        <xdr:cNvSpPr>
          <a:spLocks/>
        </xdr:cNvSpPr>
      </xdr:nvSpPr>
      <xdr:spPr>
        <a:xfrm rot="21588863" flipV="1">
          <a:off x="21393150" y="3752850"/>
          <a:ext cx="1381125" cy="581025"/>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19050</xdr:colOff>
      <xdr:row>9</xdr:row>
      <xdr:rowOff>666750</xdr:rowOff>
    </xdr:from>
    <xdr:to>
      <xdr:col>33</xdr:col>
      <xdr:colOff>190500</xdr:colOff>
      <xdr:row>13</xdr:row>
      <xdr:rowOff>38100</xdr:rowOff>
    </xdr:to>
    <xdr:sp>
      <xdr:nvSpPr>
        <xdr:cNvPr id="6" name="AutoShape 26"/>
        <xdr:cNvSpPr>
          <a:spLocks/>
        </xdr:cNvSpPr>
      </xdr:nvSpPr>
      <xdr:spPr>
        <a:xfrm flipH="1">
          <a:off x="24822150" y="4343400"/>
          <a:ext cx="171450" cy="1495425"/>
        </a:xfrm>
        <a:prstGeom prst="curvedLeftArrow">
          <a:avLst/>
        </a:prstGeom>
        <a:solidFill>
          <a:srgbClr val="FFCC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942975</xdr:colOff>
      <xdr:row>8</xdr:row>
      <xdr:rowOff>133350</xdr:rowOff>
    </xdr:from>
    <xdr:to>
      <xdr:col>36</xdr:col>
      <xdr:colOff>581025</xdr:colOff>
      <xdr:row>14</xdr:row>
      <xdr:rowOff>152400</xdr:rowOff>
    </xdr:to>
    <xdr:sp>
      <xdr:nvSpPr>
        <xdr:cNvPr id="7" name="AutoShape 27"/>
        <xdr:cNvSpPr>
          <a:spLocks/>
        </xdr:cNvSpPr>
      </xdr:nvSpPr>
      <xdr:spPr>
        <a:xfrm flipH="1">
          <a:off x="28079700" y="2857500"/>
          <a:ext cx="800100" cy="3667125"/>
        </a:xfrm>
        <a:prstGeom prst="curvedLeftArrow">
          <a:avLst>
            <a:gd name="adj1" fmla="val 25953"/>
            <a:gd name="adj2" fmla="val 40666"/>
          </a:avLst>
        </a:prstGeom>
        <a:solidFill>
          <a:srgbClr val="96969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1209675</xdr:colOff>
      <xdr:row>8</xdr:row>
      <xdr:rowOff>95250</xdr:rowOff>
    </xdr:from>
    <xdr:to>
      <xdr:col>16</xdr:col>
      <xdr:colOff>0</xdr:colOff>
      <xdr:row>14</xdr:row>
      <xdr:rowOff>114300</xdr:rowOff>
    </xdr:to>
    <xdr:sp>
      <xdr:nvSpPr>
        <xdr:cNvPr id="8" name="AutoShape 28"/>
        <xdr:cNvSpPr>
          <a:spLocks/>
        </xdr:cNvSpPr>
      </xdr:nvSpPr>
      <xdr:spPr>
        <a:xfrm flipH="1">
          <a:off x="12525375" y="2819400"/>
          <a:ext cx="1095375" cy="3667125"/>
        </a:xfrm>
        <a:prstGeom prst="curvedLeftArrow">
          <a:avLst>
            <a:gd name="adj1" fmla="val 25953"/>
            <a:gd name="adj2" fmla="val 40666"/>
          </a:avLst>
        </a:prstGeom>
        <a:solidFill>
          <a:srgbClr val="96969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10</xdr:row>
      <xdr:rowOff>57150</xdr:rowOff>
    </xdr:from>
    <xdr:to>
      <xdr:col>12</xdr:col>
      <xdr:colOff>228600</xdr:colOff>
      <xdr:row>13</xdr:row>
      <xdr:rowOff>114300</xdr:rowOff>
    </xdr:to>
    <xdr:sp>
      <xdr:nvSpPr>
        <xdr:cNvPr id="9" name="AutoShape 30"/>
        <xdr:cNvSpPr>
          <a:spLocks/>
        </xdr:cNvSpPr>
      </xdr:nvSpPr>
      <xdr:spPr>
        <a:xfrm flipH="1">
          <a:off x="8963025" y="4419600"/>
          <a:ext cx="180975" cy="1495425"/>
        </a:xfrm>
        <a:prstGeom prst="curvedLeftArrow">
          <a:avLst/>
        </a:prstGeom>
        <a:solidFill>
          <a:srgbClr val="FFCC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7</xdr:row>
      <xdr:rowOff>19050</xdr:rowOff>
    </xdr:from>
    <xdr:to>
      <xdr:col>41</xdr:col>
      <xdr:colOff>0</xdr:colOff>
      <xdr:row>8</xdr:row>
      <xdr:rowOff>85725</xdr:rowOff>
    </xdr:to>
    <xdr:sp>
      <xdr:nvSpPr>
        <xdr:cNvPr id="10" name="AutoShape 31"/>
        <xdr:cNvSpPr>
          <a:spLocks/>
        </xdr:cNvSpPr>
      </xdr:nvSpPr>
      <xdr:spPr>
        <a:xfrm>
          <a:off x="32442150" y="2019300"/>
          <a:ext cx="0" cy="790575"/>
        </a:xfrm>
        <a:prstGeom prst="bentUpArrow">
          <a:avLst>
            <a:gd name="adj1" fmla="val 12069"/>
            <a:gd name="adj2" fmla="val 38504"/>
            <a:gd name="adj3" fmla="val 1064"/>
          </a:avLst>
        </a:prstGeom>
        <a:solidFill>
          <a:srgbClr val="FFCC00">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8</xdr:row>
      <xdr:rowOff>76200</xdr:rowOff>
    </xdr:from>
    <xdr:to>
      <xdr:col>41</xdr:col>
      <xdr:colOff>0</xdr:colOff>
      <xdr:row>8</xdr:row>
      <xdr:rowOff>657225</xdr:rowOff>
    </xdr:to>
    <xdr:sp>
      <xdr:nvSpPr>
        <xdr:cNvPr id="11" name="AutoShape 32"/>
        <xdr:cNvSpPr>
          <a:spLocks/>
        </xdr:cNvSpPr>
      </xdr:nvSpPr>
      <xdr:spPr>
        <a:xfrm rot="21588863" flipV="1">
          <a:off x="32442150" y="2800350"/>
          <a:ext cx="0" cy="581025"/>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10</xdr:row>
      <xdr:rowOff>19050</xdr:rowOff>
    </xdr:from>
    <xdr:to>
      <xdr:col>41</xdr:col>
      <xdr:colOff>0</xdr:colOff>
      <xdr:row>15</xdr:row>
      <xdr:rowOff>57150</xdr:rowOff>
    </xdr:to>
    <xdr:sp>
      <xdr:nvSpPr>
        <xdr:cNvPr id="12" name="AutoShape 33"/>
        <xdr:cNvSpPr>
          <a:spLocks/>
        </xdr:cNvSpPr>
      </xdr:nvSpPr>
      <xdr:spPr>
        <a:xfrm rot="16200000" flipH="1" flipV="1">
          <a:off x="32442150" y="4381500"/>
          <a:ext cx="0" cy="2486025"/>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6</xdr:row>
      <xdr:rowOff>171450</xdr:rowOff>
    </xdr:from>
    <xdr:to>
      <xdr:col>41</xdr:col>
      <xdr:colOff>0</xdr:colOff>
      <xdr:row>8</xdr:row>
      <xdr:rowOff>152400</xdr:rowOff>
    </xdr:to>
    <xdr:sp>
      <xdr:nvSpPr>
        <xdr:cNvPr id="13" name="AutoShape 34"/>
        <xdr:cNvSpPr>
          <a:spLocks/>
        </xdr:cNvSpPr>
      </xdr:nvSpPr>
      <xdr:spPr>
        <a:xfrm>
          <a:off x="32442150" y="2000250"/>
          <a:ext cx="0" cy="876300"/>
        </a:xfrm>
        <a:prstGeom prst="curvedLeftArrow">
          <a:avLst/>
        </a:prstGeom>
        <a:solidFill>
          <a:srgbClr val="C0C0C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8</xdr:row>
      <xdr:rowOff>666750</xdr:rowOff>
    </xdr:from>
    <xdr:to>
      <xdr:col>41</xdr:col>
      <xdr:colOff>0</xdr:colOff>
      <xdr:row>12</xdr:row>
      <xdr:rowOff>38100</xdr:rowOff>
    </xdr:to>
    <xdr:sp>
      <xdr:nvSpPr>
        <xdr:cNvPr id="14" name="AutoShape 35"/>
        <xdr:cNvSpPr>
          <a:spLocks/>
        </xdr:cNvSpPr>
      </xdr:nvSpPr>
      <xdr:spPr>
        <a:xfrm flipH="1">
          <a:off x="32442150" y="3390900"/>
          <a:ext cx="0" cy="2057400"/>
        </a:xfrm>
        <a:prstGeom prst="curvedLeftArrow">
          <a:avLst/>
        </a:prstGeom>
        <a:solidFill>
          <a:srgbClr val="FFCC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7</xdr:row>
      <xdr:rowOff>133350</xdr:rowOff>
    </xdr:from>
    <xdr:to>
      <xdr:col>41</xdr:col>
      <xdr:colOff>0</xdr:colOff>
      <xdr:row>13</xdr:row>
      <xdr:rowOff>152400</xdr:rowOff>
    </xdr:to>
    <xdr:sp>
      <xdr:nvSpPr>
        <xdr:cNvPr id="15" name="AutoShape 36"/>
        <xdr:cNvSpPr>
          <a:spLocks/>
        </xdr:cNvSpPr>
      </xdr:nvSpPr>
      <xdr:spPr>
        <a:xfrm flipH="1">
          <a:off x="32442150" y="2133600"/>
          <a:ext cx="0" cy="3819525"/>
        </a:xfrm>
        <a:prstGeom prst="curvedLeftArrow">
          <a:avLst>
            <a:gd name="adj1" fmla="val 25953"/>
            <a:gd name="adj2" fmla="val 40666"/>
          </a:avLst>
        </a:prstGeom>
        <a:solidFill>
          <a:srgbClr val="96969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8</xdr:row>
      <xdr:rowOff>19050</xdr:rowOff>
    </xdr:from>
    <xdr:to>
      <xdr:col>41</xdr:col>
      <xdr:colOff>0</xdr:colOff>
      <xdr:row>9</xdr:row>
      <xdr:rowOff>95250</xdr:rowOff>
    </xdr:to>
    <xdr:sp>
      <xdr:nvSpPr>
        <xdr:cNvPr id="16" name="AutoShape 37"/>
        <xdr:cNvSpPr>
          <a:spLocks/>
        </xdr:cNvSpPr>
      </xdr:nvSpPr>
      <xdr:spPr>
        <a:xfrm>
          <a:off x="32442150" y="2743200"/>
          <a:ext cx="0" cy="1028700"/>
        </a:xfrm>
        <a:prstGeom prst="bentUpArrow">
          <a:avLst>
            <a:gd name="adj1" fmla="val 12069"/>
            <a:gd name="adj2" fmla="val 38504"/>
            <a:gd name="adj3" fmla="val 1064"/>
          </a:avLst>
        </a:prstGeom>
        <a:solidFill>
          <a:srgbClr val="FFCC00">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9</xdr:row>
      <xdr:rowOff>76200</xdr:rowOff>
    </xdr:from>
    <xdr:to>
      <xdr:col>41</xdr:col>
      <xdr:colOff>0</xdr:colOff>
      <xdr:row>9</xdr:row>
      <xdr:rowOff>657225</xdr:rowOff>
    </xdr:to>
    <xdr:sp>
      <xdr:nvSpPr>
        <xdr:cNvPr id="17" name="AutoShape 38"/>
        <xdr:cNvSpPr>
          <a:spLocks/>
        </xdr:cNvSpPr>
      </xdr:nvSpPr>
      <xdr:spPr>
        <a:xfrm rot="21588863" flipV="1">
          <a:off x="32442150" y="3752850"/>
          <a:ext cx="0" cy="581025"/>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11</xdr:row>
      <xdr:rowOff>19050</xdr:rowOff>
    </xdr:from>
    <xdr:to>
      <xdr:col>41</xdr:col>
      <xdr:colOff>0</xdr:colOff>
      <xdr:row>16</xdr:row>
      <xdr:rowOff>57150</xdr:rowOff>
    </xdr:to>
    <xdr:sp>
      <xdr:nvSpPr>
        <xdr:cNvPr id="18" name="AutoShape 39"/>
        <xdr:cNvSpPr>
          <a:spLocks/>
        </xdr:cNvSpPr>
      </xdr:nvSpPr>
      <xdr:spPr>
        <a:xfrm rot="16200000" flipH="1" flipV="1">
          <a:off x="32442150" y="4943475"/>
          <a:ext cx="0" cy="2228850"/>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7</xdr:row>
      <xdr:rowOff>228600</xdr:rowOff>
    </xdr:from>
    <xdr:to>
      <xdr:col>41</xdr:col>
      <xdr:colOff>0</xdr:colOff>
      <xdr:row>9</xdr:row>
      <xdr:rowOff>152400</xdr:rowOff>
    </xdr:to>
    <xdr:sp>
      <xdr:nvSpPr>
        <xdr:cNvPr id="19" name="AutoShape 40"/>
        <xdr:cNvSpPr>
          <a:spLocks/>
        </xdr:cNvSpPr>
      </xdr:nvSpPr>
      <xdr:spPr>
        <a:xfrm>
          <a:off x="32442150" y="2228850"/>
          <a:ext cx="0" cy="1600200"/>
        </a:xfrm>
        <a:prstGeom prst="curvedLeftArrow">
          <a:avLst/>
        </a:prstGeom>
        <a:solidFill>
          <a:srgbClr val="C0C0C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9</xdr:row>
      <xdr:rowOff>666750</xdr:rowOff>
    </xdr:from>
    <xdr:to>
      <xdr:col>41</xdr:col>
      <xdr:colOff>0</xdr:colOff>
      <xdr:row>13</xdr:row>
      <xdr:rowOff>38100</xdr:rowOff>
    </xdr:to>
    <xdr:sp>
      <xdr:nvSpPr>
        <xdr:cNvPr id="20" name="AutoShape 41"/>
        <xdr:cNvSpPr>
          <a:spLocks/>
        </xdr:cNvSpPr>
      </xdr:nvSpPr>
      <xdr:spPr>
        <a:xfrm flipH="1">
          <a:off x="32442150" y="4343400"/>
          <a:ext cx="0" cy="1495425"/>
        </a:xfrm>
        <a:prstGeom prst="curvedLeftArrow">
          <a:avLst/>
        </a:prstGeom>
        <a:solidFill>
          <a:srgbClr val="FFCC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8</xdr:row>
      <xdr:rowOff>133350</xdr:rowOff>
    </xdr:from>
    <xdr:to>
      <xdr:col>41</xdr:col>
      <xdr:colOff>0</xdr:colOff>
      <xdr:row>14</xdr:row>
      <xdr:rowOff>152400</xdr:rowOff>
    </xdr:to>
    <xdr:sp>
      <xdr:nvSpPr>
        <xdr:cNvPr id="21" name="AutoShape 42"/>
        <xdr:cNvSpPr>
          <a:spLocks/>
        </xdr:cNvSpPr>
      </xdr:nvSpPr>
      <xdr:spPr>
        <a:xfrm flipH="1">
          <a:off x="32442150" y="2857500"/>
          <a:ext cx="0" cy="3667125"/>
        </a:xfrm>
        <a:prstGeom prst="curvedLeftArrow">
          <a:avLst>
            <a:gd name="adj1" fmla="val 25953"/>
            <a:gd name="adj2" fmla="val 40666"/>
          </a:avLst>
        </a:prstGeom>
        <a:solidFill>
          <a:srgbClr val="96969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8</xdr:row>
      <xdr:rowOff>19050</xdr:rowOff>
    </xdr:from>
    <xdr:to>
      <xdr:col>47</xdr:col>
      <xdr:colOff>714375</xdr:colOff>
      <xdr:row>9</xdr:row>
      <xdr:rowOff>95250</xdr:rowOff>
    </xdr:to>
    <xdr:sp>
      <xdr:nvSpPr>
        <xdr:cNvPr id="22" name="AutoShape 43"/>
        <xdr:cNvSpPr>
          <a:spLocks/>
        </xdr:cNvSpPr>
      </xdr:nvSpPr>
      <xdr:spPr>
        <a:xfrm>
          <a:off x="35842575" y="2743200"/>
          <a:ext cx="1323975" cy="1028700"/>
        </a:xfrm>
        <a:prstGeom prst="bentUpArrow">
          <a:avLst>
            <a:gd name="adj1" fmla="val 12069"/>
            <a:gd name="adj2" fmla="val 38504"/>
            <a:gd name="adj3" fmla="val 1064"/>
          </a:avLst>
        </a:prstGeom>
        <a:solidFill>
          <a:srgbClr val="FFCC00">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9</xdr:row>
      <xdr:rowOff>76200</xdr:rowOff>
    </xdr:from>
    <xdr:to>
      <xdr:col>48</xdr:col>
      <xdr:colOff>0</xdr:colOff>
      <xdr:row>9</xdr:row>
      <xdr:rowOff>657225</xdr:rowOff>
    </xdr:to>
    <xdr:sp>
      <xdr:nvSpPr>
        <xdr:cNvPr id="23" name="AutoShape 44"/>
        <xdr:cNvSpPr>
          <a:spLocks/>
        </xdr:cNvSpPr>
      </xdr:nvSpPr>
      <xdr:spPr>
        <a:xfrm rot="21588863" flipV="1">
          <a:off x="35861625" y="3752850"/>
          <a:ext cx="1381125" cy="581025"/>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190500</xdr:colOff>
      <xdr:row>7</xdr:row>
      <xdr:rowOff>114300</xdr:rowOff>
    </xdr:from>
    <xdr:to>
      <xdr:col>54</xdr:col>
      <xdr:colOff>0</xdr:colOff>
      <xdr:row>8</xdr:row>
      <xdr:rowOff>276225</xdr:rowOff>
    </xdr:to>
    <xdr:sp>
      <xdr:nvSpPr>
        <xdr:cNvPr id="24" name="AutoShape 46"/>
        <xdr:cNvSpPr>
          <a:spLocks/>
        </xdr:cNvSpPr>
      </xdr:nvSpPr>
      <xdr:spPr>
        <a:xfrm flipH="1">
          <a:off x="39290625" y="2114550"/>
          <a:ext cx="257175" cy="885825"/>
        </a:xfrm>
        <a:prstGeom prst="curvedLeftArrow">
          <a:avLst/>
        </a:prstGeom>
        <a:solidFill>
          <a:srgbClr val="C0C0C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57150</xdr:colOff>
      <xdr:row>10</xdr:row>
      <xdr:rowOff>38100</xdr:rowOff>
    </xdr:from>
    <xdr:to>
      <xdr:col>53</xdr:col>
      <xdr:colOff>200025</xdr:colOff>
      <xdr:row>13</xdr:row>
      <xdr:rowOff>352425</xdr:rowOff>
    </xdr:to>
    <xdr:sp>
      <xdr:nvSpPr>
        <xdr:cNvPr id="25" name="AutoShape 47"/>
        <xdr:cNvSpPr>
          <a:spLocks/>
        </xdr:cNvSpPr>
      </xdr:nvSpPr>
      <xdr:spPr>
        <a:xfrm flipH="1">
          <a:off x="39366825" y="4400550"/>
          <a:ext cx="142875" cy="1752600"/>
        </a:xfrm>
        <a:prstGeom prst="curvedLeftArrow">
          <a:avLst/>
        </a:prstGeom>
        <a:solidFill>
          <a:srgbClr val="FFCC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28575</xdr:colOff>
      <xdr:row>8</xdr:row>
      <xdr:rowOff>266700</xdr:rowOff>
    </xdr:from>
    <xdr:to>
      <xdr:col>53</xdr:col>
      <xdr:colOff>200025</xdr:colOff>
      <xdr:row>9</xdr:row>
      <xdr:rowOff>390525</xdr:rowOff>
    </xdr:to>
    <xdr:sp>
      <xdr:nvSpPr>
        <xdr:cNvPr id="26" name="AutoShape 50"/>
        <xdr:cNvSpPr>
          <a:spLocks/>
        </xdr:cNvSpPr>
      </xdr:nvSpPr>
      <xdr:spPr>
        <a:xfrm flipH="1">
          <a:off x="39338250" y="2990850"/>
          <a:ext cx="171450" cy="1076325"/>
        </a:xfrm>
        <a:prstGeom prst="curvedLeftArrow">
          <a:avLst/>
        </a:prstGeom>
        <a:solidFill>
          <a:srgbClr val="CCFFCC">
            <a:alpha val="90000"/>
          </a:srgbClr>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38100</xdr:colOff>
      <xdr:row>7</xdr:row>
      <xdr:rowOff>133350</xdr:rowOff>
    </xdr:from>
    <xdr:to>
      <xdr:col>34</xdr:col>
      <xdr:colOff>0</xdr:colOff>
      <xdr:row>8</xdr:row>
      <xdr:rowOff>304800</xdr:rowOff>
    </xdr:to>
    <xdr:sp>
      <xdr:nvSpPr>
        <xdr:cNvPr id="27" name="AutoShape 51"/>
        <xdr:cNvSpPr>
          <a:spLocks/>
        </xdr:cNvSpPr>
      </xdr:nvSpPr>
      <xdr:spPr>
        <a:xfrm flipH="1">
          <a:off x="24841200" y="2133600"/>
          <a:ext cx="200025" cy="895350"/>
        </a:xfrm>
        <a:prstGeom prst="curvedLeftArrow">
          <a:avLst/>
        </a:prstGeom>
        <a:solidFill>
          <a:srgbClr val="C0C0C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38100</xdr:colOff>
      <xdr:row>8</xdr:row>
      <xdr:rowOff>285750</xdr:rowOff>
    </xdr:from>
    <xdr:to>
      <xdr:col>33</xdr:col>
      <xdr:colOff>200025</xdr:colOff>
      <xdr:row>9</xdr:row>
      <xdr:rowOff>600075</xdr:rowOff>
    </xdr:to>
    <xdr:sp>
      <xdr:nvSpPr>
        <xdr:cNvPr id="28" name="AutoShape 52"/>
        <xdr:cNvSpPr>
          <a:spLocks/>
        </xdr:cNvSpPr>
      </xdr:nvSpPr>
      <xdr:spPr>
        <a:xfrm flipH="1">
          <a:off x="24841200" y="3009900"/>
          <a:ext cx="161925" cy="1266825"/>
        </a:xfrm>
        <a:prstGeom prst="curvedLeftArrow">
          <a:avLst/>
        </a:prstGeom>
        <a:solidFill>
          <a:srgbClr val="CCFFCC"/>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7</xdr:row>
      <xdr:rowOff>304800</xdr:rowOff>
    </xdr:from>
    <xdr:to>
      <xdr:col>13</xdr:col>
      <xdr:colOff>0</xdr:colOff>
      <xdr:row>8</xdr:row>
      <xdr:rowOff>466725</xdr:rowOff>
    </xdr:to>
    <xdr:sp>
      <xdr:nvSpPr>
        <xdr:cNvPr id="29" name="AutoShape 53"/>
        <xdr:cNvSpPr>
          <a:spLocks/>
        </xdr:cNvSpPr>
      </xdr:nvSpPr>
      <xdr:spPr>
        <a:xfrm flipH="1">
          <a:off x="8934450" y="2305050"/>
          <a:ext cx="219075" cy="885825"/>
        </a:xfrm>
        <a:prstGeom prst="curvedLeftArrow">
          <a:avLst/>
        </a:prstGeom>
        <a:solidFill>
          <a:srgbClr val="C0C0C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8</xdr:row>
      <xdr:rowOff>457200</xdr:rowOff>
    </xdr:from>
    <xdr:to>
      <xdr:col>12</xdr:col>
      <xdr:colOff>200025</xdr:colOff>
      <xdr:row>10</xdr:row>
      <xdr:rowOff>85725</xdr:rowOff>
    </xdr:to>
    <xdr:sp>
      <xdr:nvSpPr>
        <xdr:cNvPr id="30" name="AutoShape 54"/>
        <xdr:cNvSpPr>
          <a:spLocks/>
        </xdr:cNvSpPr>
      </xdr:nvSpPr>
      <xdr:spPr>
        <a:xfrm flipH="1">
          <a:off x="8963025" y="3181350"/>
          <a:ext cx="152400" cy="1266825"/>
        </a:xfrm>
        <a:prstGeom prst="curvedLeftArrow">
          <a:avLst/>
        </a:prstGeom>
        <a:solidFill>
          <a:srgbClr val="CCFFCC"/>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1647825</xdr:colOff>
      <xdr:row>1</xdr:row>
      <xdr:rowOff>114300</xdr:rowOff>
    </xdr:from>
    <xdr:to>
      <xdr:col>24</xdr:col>
      <xdr:colOff>76200</xdr:colOff>
      <xdr:row>72</xdr:row>
      <xdr:rowOff>76200</xdr:rowOff>
    </xdr:to>
    <xdr:sp>
      <xdr:nvSpPr>
        <xdr:cNvPr id="1" name="TextBox 1"/>
        <xdr:cNvSpPr txBox="1">
          <a:spLocks noChangeArrowheads="1"/>
        </xdr:cNvSpPr>
      </xdr:nvSpPr>
      <xdr:spPr>
        <a:xfrm>
          <a:off x="2105025" y="3343275"/>
          <a:ext cx="13515975" cy="114585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Arial"/>
              <a:ea typeface="Arial"/>
              <a:cs typeface="Arial"/>
            </a:rPr>
            <a:t>ALL Hood Canal Watershed characteristics - Soils, Elevation, Slope, Population, Land Cover, Shore Details, 
Soils: Columns C to CY
Elevation: Column CV
Watershed Area: Column BT
Slope: Column DA
Land Cover: DB to DN
Population, shoreline,  DO to DR
About this worksheet: Watershed Mean Soil Chem Parameters and %Watershed area in notable soil types</a:t>
          </a:r>
          <a:r>
            <a:rPr lang="en-US" cap="none" sz="1200" b="1" i="0" u="none" baseline="0">
              <a:solidFill>
                <a:srgbClr val="FF0000"/>
              </a:solidFill>
              <a:latin typeface="Arial"/>
              <a:ea typeface="Arial"/>
              <a:cs typeface="Arial"/>
            </a:rPr>
            <a:t>
-Column BU shows the %wshed area that with soil data…It ranges from 18% (N Fk Skok) to ~40% for other olympic watersheds to about 100% for the rest.  (Because of GIS polygon intersect process, the % mapped areas  may be 101% due to sliver polygons)
-Parameters: Cation Ex Capactiy, pH, %clay, bulk density, soil hydraulic conductivity, avail. water capacity, %organic matter by weight...
-Each parameter is estimated for the Surface (S) 12 inches, the middle (M) 24 inches, and deep (D) 24 inches.
-An NRCS lookup table gave estimated min, max and mean quanitities for each parameter for each depth for each soil polygon.  For example, S_CEC_MI is a watershed average of the minimum estimates for CEC each soil polygon in watershed, S_CEC_MA is a watershed average of the maximum estimates of CEC for each soil polygon in wshed polygon, and S_CEC_MN a watershed average of the mean estimates for each soil polygon.
-Units are listed on the last row of each column
-Calculated Total Soil Organic Matter per m2 area several dif't ways: 1) TO_OM_MI is an watershed average of (polygons' min. est. OM * polygons' max est. bulk density)...2) TO_OM_MA is an watershed average of (polygons' max est. OM * polygons' min est. bulk density)...3) TO_OM_MN is an average of TO_OM_MI and TO_OM_MA
-Minimum, max, and mean total soil cation exchange capacity per m2 area (TO_CEC_MI, TO_CEC_MA, and TO_CEC_MN) were calculated the same way as total soil organic mater...
-Calculated the watershed average soil available water capacity (AWC):====(12 inches *( inches AWC/12 inches surface soil))+(24 inches *( inches AWC/24 inches middle soil))+(24 inches * (inches AWC/24 inches deep soil))
-Calculated the depth averaged watershed averaged %clay ===12*surface percent clay + 24*middle percent clay+24 * deep percent clayy....sum all and divide by 60
-Calculated Total Watershed Organic Matter, Total Watershed CEC, Total Watershed Soil AWC by multiplying the total per m2 * wshed area
***For all the integrations of total soil OM, CEC, and AWC...the "total soil " is arbitrarily called 60 inches deep (that's as far as most soils were described)
</a:t>
          </a:r>
          <a:r>
            <a:rPr lang="en-US" cap="none" sz="1200" b="1" i="0" u="none" baseline="0">
              <a:solidFill>
                <a:srgbClr val="0000FF"/>
              </a:solidFill>
              <a:latin typeface="Arial"/>
              <a:ea typeface="Arial"/>
              <a:cs typeface="Arial"/>
            </a:rPr>
            <a:t>%SOIL TYPES%%%
-The areas of a few important soil types were calculated for each watershed.  The % of watershed area in each of these soil types is calculated as ==(area of mapped soil type in watershed)/(mapped area in watershed).  (So it ignores areas with no data)
-The soil types I looked at were:
1) Andic/Andisols = soils with "%and%" in their taxonomic name.  These are soils influenced by volcanic ash.
2) Wetland Mineral soils = soils with "%aqu%" in their taxonomic name.  These are wetland soils other than organic soils (but do not necessary include all mineral soil wetlands)
3) Glacially Indurated Soils = soils with "%dur%" in their taxonomic name.  These are soils strongly influenced by glacial compaction.
4) Entisols/Inceptisols = soils with "%ent%" or "%ept%" at the end of their taxonomic name (and not "%dur%" and not "%aqu%").  Entisols and Inceptisols are soils with very limited and somewhat limited development, respectively.  The lack of development may be due to steepness/erosion, erosion/deposition by water, glacial process, or anthropogenic disturbance.  Most glacially indurated soils are also entisols or inceptisols.  I excluded the glacial till soils so that the two classes would be distinct...I also excluded entisols/inceptisols that are wetlands (aqu)
5) Histosols/Histic Soils= soils with "%ist%" in their taxonomic names.   These are organic (generally deep) soils.
6) Riverwash/Water and Unifluvents (Weakly Developed active Alluvial Soils)
7) Spodosols - soils with "%ods%" at end of taxonomic name...generally sandy soils characterized by translocation of iron hydroxides and humics into subsurface horizons
8) Hydric Soils: Soils meeting saturation/inundation criteria for federal wetland classification...Includes both organic soils and mineral soils...So it is a class overlapping with Classes 2, 5, and 6 (It is often just a sum of these classes...but not always....a common exception are alluvial valley or organic soils that are anthropogenically drained  no longer considererd hydric)....The hydric criteria focus on having soil anoxic for a duration during the growing season.  Hydric Criteria: http://soils.usda.gov/use/hydric/criteria.html
</a:t>
          </a:r>
          <a:r>
            <a:rPr lang="en-US" cap="none" sz="1200" b="1" i="0" u="none" baseline="0">
              <a:solidFill>
                <a:srgbClr val="FF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S458"/>
  <sheetViews>
    <sheetView workbookViewId="0" topLeftCell="AO19">
      <selection activeCell="AQ24" sqref="AQ24"/>
    </sheetView>
  </sheetViews>
  <sheetFormatPr defaultColWidth="9.140625" defaultRowHeight="12.75"/>
  <cols>
    <col min="1" max="1" width="16.421875" style="0" hidden="1" customWidth="1"/>
    <col min="2" max="2" width="31.28125" style="0" hidden="1" customWidth="1"/>
    <col min="3" max="29" width="0" style="0" hidden="1" customWidth="1"/>
    <col min="30" max="31" width="14.7109375" style="0" hidden="1" customWidth="1"/>
    <col min="32" max="32" width="12.28125" style="0" hidden="1" customWidth="1"/>
    <col min="33" max="37" width="0" style="0" hidden="1" customWidth="1"/>
    <col min="38" max="39" width="0" style="1" hidden="1" customWidth="1"/>
    <col min="40" max="40" width="0" style="0" hidden="1" customWidth="1"/>
    <col min="41" max="41" width="18.00390625" style="0" customWidth="1"/>
    <col min="42" max="42" width="17.140625" style="0" customWidth="1"/>
    <col min="43" max="44" width="10.57421875" style="0" customWidth="1"/>
    <col min="45" max="45" width="31.140625" style="0" customWidth="1"/>
    <col min="46" max="82" width="0" style="0" hidden="1" customWidth="1"/>
    <col min="83" max="83" width="2.28125" style="0" customWidth="1"/>
    <col min="84" max="84" width="2.7109375" style="0" customWidth="1"/>
    <col min="85" max="85" width="1.57421875" style="0" customWidth="1"/>
  </cols>
  <sheetData>
    <row r="1" ht="12.75" hidden="1">
      <c r="AX1" t="s">
        <v>259</v>
      </c>
    </row>
    <row r="2" spans="1:53" ht="12.75" hidden="1">
      <c r="A2" s="1" t="s">
        <v>249</v>
      </c>
      <c r="B2" s="1" t="s">
        <v>250</v>
      </c>
      <c r="C2" t="s">
        <v>219</v>
      </c>
      <c r="D2" t="s">
        <v>220</v>
      </c>
      <c r="E2" t="s">
        <v>221</v>
      </c>
      <c r="F2" t="s">
        <v>222</v>
      </c>
      <c r="G2" t="s">
        <v>223</v>
      </c>
      <c r="H2" t="s">
        <v>224</v>
      </c>
      <c r="I2" t="s">
        <v>225</v>
      </c>
      <c r="J2" t="s">
        <v>226</v>
      </c>
      <c r="K2" t="s">
        <v>227</v>
      </c>
      <c r="L2" t="s">
        <v>228</v>
      </c>
      <c r="M2" t="s">
        <v>229</v>
      </c>
      <c r="N2" t="s">
        <v>230</v>
      </c>
      <c r="O2" t="s">
        <v>219</v>
      </c>
      <c r="P2" t="s">
        <v>220</v>
      </c>
      <c r="Q2" t="s">
        <v>221</v>
      </c>
      <c r="R2" t="s">
        <v>222</v>
      </c>
      <c r="S2" t="s">
        <v>223</v>
      </c>
      <c r="T2" t="s">
        <v>224</v>
      </c>
      <c r="U2" t="s">
        <v>225</v>
      </c>
      <c r="V2" t="s">
        <v>226</v>
      </c>
      <c r="W2" t="s">
        <v>227</v>
      </c>
      <c r="X2" t="s">
        <v>228</v>
      </c>
      <c r="Y2" t="s">
        <v>229</v>
      </c>
      <c r="Z2" t="s">
        <v>230</v>
      </c>
      <c r="AA2" s="1" t="s">
        <v>86</v>
      </c>
      <c r="AB2" s="1" t="s">
        <v>87</v>
      </c>
      <c r="AC2" s="1"/>
      <c r="AD2" s="1" t="s">
        <v>251</v>
      </c>
      <c r="AE2" s="1" t="s">
        <v>242</v>
      </c>
      <c r="AF2" s="1" t="s">
        <v>729</v>
      </c>
      <c r="AL2" s="1" t="s">
        <v>217</v>
      </c>
      <c r="AX2" t="s">
        <v>260</v>
      </c>
      <c r="AY2" t="s">
        <v>261</v>
      </c>
      <c r="AZ2" t="s">
        <v>263</v>
      </c>
      <c r="BA2" t="s">
        <v>262</v>
      </c>
    </row>
    <row r="3" spans="1:53" ht="12.75" hidden="1">
      <c r="A3" t="s">
        <v>150</v>
      </c>
      <c r="B3" t="s">
        <v>253</v>
      </c>
      <c r="C3">
        <v>66.7608658645195</v>
      </c>
      <c r="D3">
        <v>16.5582148016298</v>
      </c>
      <c r="E3">
        <v>11.7956217155074</v>
      </c>
      <c r="F3">
        <v>31.1929783457716</v>
      </c>
      <c r="G3">
        <v>38.6179027541229</v>
      </c>
      <c r="H3">
        <v>18.5533396467729</v>
      </c>
      <c r="I3">
        <v>9.21891556832738</v>
      </c>
      <c r="J3">
        <v>9.44442895196628</v>
      </c>
      <c r="K3">
        <v>46.4721325418104</v>
      </c>
      <c r="L3">
        <v>53.9031104790657</v>
      </c>
      <c r="M3">
        <v>57.396708023977</v>
      </c>
      <c r="N3">
        <v>135.26747242607</v>
      </c>
      <c r="O3">
        <v>115.99624608913</v>
      </c>
      <c r="P3">
        <v>73.029249435216</v>
      </c>
      <c r="Q3">
        <v>62.2889947652976</v>
      </c>
      <c r="R3">
        <v>28.0258986848421</v>
      </c>
      <c r="S3">
        <v>5.04451301671537</v>
      </c>
      <c r="T3">
        <v>65.9373979895625</v>
      </c>
      <c r="U3">
        <v>18.12408520575</v>
      </c>
      <c r="V3">
        <v>6.11789744726584</v>
      </c>
      <c r="W3">
        <v>3.86732732069179</v>
      </c>
      <c r="X3">
        <v>3.11492675917378</v>
      </c>
      <c r="Y3">
        <v>58.35924752663</v>
      </c>
      <c r="Z3">
        <v>93.0807640141279</v>
      </c>
      <c r="AA3">
        <f aca="true" t="shared" si="0" ref="AA3:AA38">SUM(C3:N3)</f>
        <v>495.1816911195408</v>
      </c>
      <c r="AB3">
        <f aca="true" t="shared" si="1" ref="AB3:AB38">SUM(O3:Z3)</f>
        <v>532.9865482544029</v>
      </c>
      <c r="AC3">
        <f aca="true" t="shared" si="2" ref="AC3:AC38">(AA3-AB3)/AD3</f>
        <v>-0.0735382706586651</v>
      </c>
      <c r="AD3" s="3">
        <f aca="true" t="shared" si="3" ref="AD3:AD38">SUM(C3:Z3)/2</f>
        <v>514.0841196869718</v>
      </c>
      <c r="AE3" s="3">
        <f>AD3/SUM($AD$3:$AD$7)*100</f>
        <v>10.981845678770384</v>
      </c>
      <c r="AF3" s="3">
        <f>(AD3)/(AD8)</f>
        <v>21.74983771084298</v>
      </c>
      <c r="AL3" s="3">
        <f>(AD3*1000)/(Q_monthly_by_region!AA2/10000)</f>
        <v>20.27777263765021</v>
      </c>
      <c r="AW3" s="1" t="s">
        <v>253</v>
      </c>
      <c r="AX3">
        <f>AD3/12.011</f>
        <v>42.80110895737006</v>
      </c>
      <c r="AY3">
        <f>AD13/14.0067</f>
        <v>3.1518521331943807</v>
      </c>
      <c r="AZ3">
        <f>AD37/30.9736</f>
        <v>0.013998993751918614</v>
      </c>
      <c r="BA3">
        <f>AD42/28.0855</f>
        <v>64.18104052570709</v>
      </c>
    </row>
    <row r="4" spans="1:53" ht="12.75" hidden="1">
      <c r="A4" t="s">
        <v>150</v>
      </c>
      <c r="B4" t="s">
        <v>149</v>
      </c>
      <c r="C4">
        <v>67.7136562174591</v>
      </c>
      <c r="D4">
        <v>16.6429215234637</v>
      </c>
      <c r="E4">
        <v>40.6608693299865</v>
      </c>
      <c r="F4">
        <v>53.6401294237133</v>
      </c>
      <c r="G4">
        <v>34.0896698736009</v>
      </c>
      <c r="H4">
        <v>14.6406579218559</v>
      </c>
      <c r="I4">
        <v>9.08931627381838</v>
      </c>
      <c r="J4">
        <v>6.39785282377959</v>
      </c>
      <c r="K4">
        <v>5.50113478006014</v>
      </c>
      <c r="L4">
        <v>19.5862206155654</v>
      </c>
      <c r="M4">
        <v>44.7863713750647</v>
      </c>
      <c r="N4">
        <v>132.120166534866</v>
      </c>
      <c r="O4">
        <v>217.323816446784</v>
      </c>
      <c r="P4">
        <v>64.0605101239397</v>
      </c>
      <c r="Q4">
        <v>51.2414155284987</v>
      </c>
      <c r="R4">
        <v>27.666436521367</v>
      </c>
      <c r="S4">
        <v>28.1505276143055</v>
      </c>
      <c r="T4">
        <v>16.4913120790875</v>
      </c>
      <c r="U4">
        <v>8.39533319160305</v>
      </c>
      <c r="V4">
        <v>9.20702514793419</v>
      </c>
      <c r="W4">
        <v>5.53947547294605</v>
      </c>
      <c r="X4">
        <v>4.14058785546806</v>
      </c>
      <c r="Y4">
        <v>319.688431278039</v>
      </c>
      <c r="Z4">
        <v>73.8329201018045</v>
      </c>
      <c r="AA4">
        <f t="shared" si="0"/>
        <v>444.8689666932336</v>
      </c>
      <c r="AB4">
        <f t="shared" si="1"/>
        <v>825.7377913617772</v>
      </c>
      <c r="AC4">
        <f t="shared" si="2"/>
        <v>-0.5995070028614691</v>
      </c>
      <c r="AD4" s="3">
        <f t="shared" si="3"/>
        <v>635.3033790275055</v>
      </c>
      <c r="AE4" s="3">
        <f>AD4/SUM($AD$3:$AD$7)*100</f>
        <v>13.571326949234772</v>
      </c>
      <c r="AF4" s="3">
        <f>(AD4)/(AD9)</f>
        <v>21.240052591910686</v>
      </c>
      <c r="AL4" s="3">
        <f>(AD4*1000)/(Q_monthly_by_region!AA3/10000)</f>
        <v>18.980856491207177</v>
      </c>
      <c r="AW4" s="1" t="s">
        <v>149</v>
      </c>
      <c r="AX4">
        <f>AD4/12.011</f>
        <v>52.89346257826205</v>
      </c>
      <c r="AY4">
        <f>AD14/14.0067</f>
        <v>10.10096202307829</v>
      </c>
      <c r="AZ4">
        <f>AD38/30.9736</f>
        <v>0.6697694571782419</v>
      </c>
      <c r="BA4">
        <f>AD43/28.0855</f>
        <v>279.0872454412816</v>
      </c>
    </row>
    <row r="5" spans="1:53" ht="12.75" hidden="1">
      <c r="A5" t="s">
        <v>150</v>
      </c>
      <c r="B5" t="s">
        <v>254</v>
      </c>
      <c r="C5">
        <v>151.472589876238</v>
      </c>
      <c r="D5">
        <v>36.11494748891</v>
      </c>
      <c r="E5">
        <v>87.4462801141199</v>
      </c>
      <c r="F5">
        <v>118.440374111764</v>
      </c>
      <c r="G5">
        <v>62.7860218729583</v>
      </c>
      <c r="H5">
        <v>44.1407897083368</v>
      </c>
      <c r="I5">
        <v>22.5525148521593</v>
      </c>
      <c r="J5">
        <v>9.49339758887067</v>
      </c>
      <c r="K5">
        <v>9.4004566384984</v>
      </c>
      <c r="L5">
        <v>18.8856567948652</v>
      </c>
      <c r="M5">
        <v>47.9218460403452</v>
      </c>
      <c r="N5">
        <v>251.4525521621</v>
      </c>
      <c r="O5">
        <v>204.102050590242</v>
      </c>
      <c r="P5">
        <v>68.9078022226233</v>
      </c>
      <c r="Q5">
        <v>43.020020720587</v>
      </c>
      <c r="R5">
        <v>30.8626100205492</v>
      </c>
      <c r="S5">
        <v>18.7744015113837</v>
      </c>
      <c r="T5">
        <v>15.9639239459015</v>
      </c>
      <c r="U5">
        <v>9.34960746808454</v>
      </c>
      <c r="V5">
        <v>6.59875057960479</v>
      </c>
      <c r="W5">
        <v>7.21304170325256</v>
      </c>
      <c r="X5">
        <v>8.32024599050308</v>
      </c>
      <c r="Y5">
        <v>222.48051002793</v>
      </c>
      <c r="Z5">
        <v>393.675688164795</v>
      </c>
      <c r="AA5">
        <f t="shared" si="0"/>
        <v>860.1074272491659</v>
      </c>
      <c r="AB5">
        <f t="shared" si="1"/>
        <v>1029.2686529454566</v>
      </c>
      <c r="AC5">
        <f t="shared" si="2"/>
        <v>-0.17906570054476983</v>
      </c>
      <c r="AD5" s="3">
        <f t="shared" si="3"/>
        <v>944.6880400973113</v>
      </c>
      <c r="AE5" s="3">
        <f>AD5/SUM($AD$3:$AD$7)*100</f>
        <v>20.180390472372018</v>
      </c>
      <c r="AF5" s="3">
        <f>(AD5)/(AD10)</f>
        <v>30.534685846064125</v>
      </c>
      <c r="AL5" s="3">
        <f>(AD5*1000)/(Q_monthly_by_region!AA4/10000)</f>
        <v>16.35036676265218</v>
      </c>
      <c r="AW5" s="1" t="s">
        <v>254</v>
      </c>
      <c r="AX5">
        <f>AD5/12.011</f>
        <v>78.65190576116154</v>
      </c>
      <c r="AY5">
        <f>AD15/14.0067</f>
        <v>8.730264525438143</v>
      </c>
      <c r="AZ5">
        <f>AD39/30.9736</f>
        <v>0.1307186679190172</v>
      </c>
      <c r="BA5">
        <f>AD44/28.0855</f>
        <v>96.85705282731375</v>
      </c>
    </row>
    <row r="6" spans="1:53" ht="12.75" hidden="1">
      <c r="A6" t="s">
        <v>150</v>
      </c>
      <c r="B6" t="s">
        <v>255</v>
      </c>
      <c r="C6">
        <v>281.014850459298</v>
      </c>
      <c r="D6">
        <v>50.950918603908</v>
      </c>
      <c r="E6">
        <v>92.3623888951899</v>
      </c>
      <c r="F6">
        <v>159.302331587401</v>
      </c>
      <c r="G6">
        <v>69.8960572920309</v>
      </c>
      <c r="H6">
        <v>45.6938310016731</v>
      </c>
      <c r="I6">
        <v>26.2023021933088</v>
      </c>
      <c r="J6">
        <v>9.49318335588809</v>
      </c>
      <c r="K6">
        <v>7.17909521599425</v>
      </c>
      <c r="L6">
        <v>16.1623574317982</v>
      </c>
      <c r="M6">
        <v>80.2492491515844</v>
      </c>
      <c r="N6">
        <v>332.189742268705</v>
      </c>
      <c r="O6">
        <v>228.547352001284</v>
      </c>
      <c r="P6">
        <v>60.9635612608726</v>
      </c>
      <c r="Q6">
        <v>34.8793309167308</v>
      </c>
      <c r="R6">
        <v>39.7629053566506</v>
      </c>
      <c r="S6">
        <v>14.224041504545</v>
      </c>
      <c r="T6">
        <v>16.925023959692</v>
      </c>
      <c r="U6">
        <v>8.55158920916643</v>
      </c>
      <c r="V6">
        <v>5.18887801284748</v>
      </c>
      <c r="W6">
        <v>4.60670590391165</v>
      </c>
      <c r="X6">
        <v>4.14333823998389</v>
      </c>
      <c r="Y6">
        <v>152.103376624457</v>
      </c>
      <c r="Z6">
        <v>335.472183583638</v>
      </c>
      <c r="AA6">
        <f t="shared" si="0"/>
        <v>1170.6963074567798</v>
      </c>
      <c r="AB6">
        <f t="shared" si="1"/>
        <v>905.3682865737794</v>
      </c>
      <c r="AC6">
        <f t="shared" si="2"/>
        <v>0.25560671054832773</v>
      </c>
      <c r="AD6" s="3">
        <f t="shared" si="3"/>
        <v>1038.0322970152797</v>
      </c>
      <c r="AE6" s="3">
        <f>AD6/SUM($AD$3:$AD$7)*100</f>
        <v>22.174406986822625</v>
      </c>
      <c r="AF6" s="3">
        <f>(AD6)/(AD11)</f>
        <v>20.71351569855454</v>
      </c>
      <c r="AL6" s="3">
        <f>(AD6*1000)/(Q_monthly_by_region!AA5/10000)</f>
        <v>16.808788946104315</v>
      </c>
      <c r="AW6" s="1" t="s">
        <v>255</v>
      </c>
      <c r="AX6">
        <f>AD6/12.011</f>
        <v>86.42346990386145</v>
      </c>
      <c r="AY6">
        <f>AD16/14.0067</f>
        <v>14.221587756869061</v>
      </c>
      <c r="AZ6">
        <f>AD40/30.9736</f>
        <v>0.13370164678279936</v>
      </c>
      <c r="BA6">
        <f>AD45/28.0855</f>
        <v>101.29406142774509</v>
      </c>
    </row>
    <row r="7" spans="1:53" ht="12.75" hidden="1">
      <c r="A7" t="s">
        <v>150</v>
      </c>
      <c r="B7" t="s">
        <v>256</v>
      </c>
      <c r="C7">
        <v>139.910348410629</v>
      </c>
      <c r="D7">
        <v>54.3628422729529</v>
      </c>
      <c r="E7">
        <v>105.941900072209</v>
      </c>
      <c r="F7">
        <v>152.123364107687</v>
      </c>
      <c r="G7">
        <v>156.658405885122</v>
      </c>
      <c r="H7">
        <v>74.4824995641087</v>
      </c>
      <c r="I7">
        <v>25.5567358176503</v>
      </c>
      <c r="J7">
        <v>16.1510798876226</v>
      </c>
      <c r="K7">
        <v>13.9996839723468</v>
      </c>
      <c r="L7">
        <v>33.7854294947278</v>
      </c>
      <c r="M7">
        <v>72.2297474528954</v>
      </c>
      <c r="N7">
        <v>386.115929179239</v>
      </c>
      <c r="O7">
        <v>377.095126336632</v>
      </c>
      <c r="P7">
        <v>110.576333340238</v>
      </c>
      <c r="Q7">
        <v>167.681594082667</v>
      </c>
      <c r="R7">
        <v>116.656201085361</v>
      </c>
      <c r="S7">
        <v>162.114587586797</v>
      </c>
      <c r="T7">
        <v>92.6538858961197</v>
      </c>
      <c r="U7">
        <v>35.949820428043</v>
      </c>
      <c r="V7">
        <v>14.2506171526476</v>
      </c>
      <c r="W7">
        <v>10.179170718149</v>
      </c>
      <c r="X7">
        <v>11.3716741982931</v>
      </c>
      <c r="Y7">
        <v>494.825484699729</v>
      </c>
      <c r="Z7">
        <v>273.547557833335</v>
      </c>
      <c r="AA7">
        <f t="shared" si="0"/>
        <v>1231.3179661171905</v>
      </c>
      <c r="AB7">
        <f t="shared" si="1"/>
        <v>1866.9020533580115</v>
      </c>
      <c r="AC7">
        <f t="shared" si="2"/>
        <v>-0.4102898330303092</v>
      </c>
      <c r="AD7" s="3">
        <f t="shared" si="3"/>
        <v>1549.110009737601</v>
      </c>
      <c r="AE7" s="3">
        <f>AD7/SUM($AD$3:$AD$7)*100</f>
        <v>33.092029912800186</v>
      </c>
      <c r="AF7" s="3">
        <f>(AD7)/(AD12)</f>
        <v>22.884258636920745</v>
      </c>
      <c r="AL7" s="3">
        <f>(AD7*1000)/(Q_monthly_by_region!AA6/10000)</f>
        <v>15.727957120770217</v>
      </c>
      <c r="AM7" s="3">
        <f>(1000*SUM(AD3:AD7))/(2768.5*100)</f>
        <v>16.908859835884666</v>
      </c>
      <c r="AW7" s="1" t="s">
        <v>256</v>
      </c>
      <c r="AX7">
        <f>AD7/12.011</f>
        <v>128.97427439327294</v>
      </c>
      <c r="AY7">
        <f>AD17/14.0067</f>
        <v>13.697598666986105</v>
      </c>
      <c r="AZ7">
        <f>AD41/30.9736</f>
        <v>0.12301947831173761</v>
      </c>
      <c r="BA7">
        <f>AD46/28.0855</f>
        <v>243.73679375821845</v>
      </c>
    </row>
    <row r="8" spans="1:39" ht="12.75" hidden="1">
      <c r="A8" t="s">
        <v>151</v>
      </c>
      <c r="B8" t="s">
        <v>253</v>
      </c>
      <c r="C8">
        <v>0.808762212310438</v>
      </c>
      <c r="D8">
        <v>1.29173134180848</v>
      </c>
      <c r="E8">
        <v>0.446269315749038</v>
      </c>
      <c r="F8">
        <v>2.91390342569614</v>
      </c>
      <c r="G8">
        <v>1.94380551851299</v>
      </c>
      <c r="H8">
        <v>0.50539486668029</v>
      </c>
      <c r="I8">
        <v>0.107279669659066</v>
      </c>
      <c r="J8">
        <v>0.188885194117737</v>
      </c>
      <c r="K8">
        <v>2.93871746512636</v>
      </c>
      <c r="L8">
        <v>2.88514857492208</v>
      </c>
      <c r="M8">
        <v>5.18496263297724</v>
      </c>
      <c r="N8">
        <v>4.76962846387485</v>
      </c>
      <c r="O8">
        <v>7.44377440477602</v>
      </c>
      <c r="P8">
        <v>3.64624485596605</v>
      </c>
      <c r="Q8">
        <v>4.30448324361193</v>
      </c>
      <c r="R8">
        <v>1.67858557209799</v>
      </c>
      <c r="S8">
        <v>0.221454884940965</v>
      </c>
      <c r="T8">
        <v>0.219292343644403</v>
      </c>
      <c r="U8">
        <v>0.248857631854279</v>
      </c>
      <c r="V8">
        <v>0.24754430067258</v>
      </c>
      <c r="W8">
        <v>0.167536769772382</v>
      </c>
      <c r="X8">
        <v>0.071846288997758</v>
      </c>
      <c r="Y8">
        <v>1.37023816883774</v>
      </c>
      <c r="Z8">
        <v>3.66810853987262</v>
      </c>
      <c r="AA8">
        <f t="shared" si="0"/>
        <v>23.98448868143471</v>
      </c>
      <c r="AB8">
        <f t="shared" si="1"/>
        <v>23.287967005044717</v>
      </c>
      <c r="AC8">
        <f t="shared" si="2"/>
        <v>0.029468394069031057</v>
      </c>
      <c r="AD8" s="3">
        <f t="shared" si="3"/>
        <v>23.63622784323971</v>
      </c>
      <c r="AE8" s="3">
        <f>AD8/SUM($AD$8:$AD$12)*100</f>
        <v>11.684208368935034</v>
      </c>
      <c r="AG8" s="3">
        <f>AD8/AD13*100</f>
        <v>53.53977061372505</v>
      </c>
      <c r="AH8" s="1" t="s">
        <v>160</v>
      </c>
      <c r="AL8" s="3">
        <f>(AD8*1000)/(Q_monthly_by_region!AA7/10000)</f>
        <v>0.9323183421980709</v>
      </c>
      <c r="AM8" s="3"/>
    </row>
    <row r="9" spans="1:50" ht="12.75" hidden="1">
      <c r="A9" t="s">
        <v>151</v>
      </c>
      <c r="B9" t="s">
        <v>149</v>
      </c>
      <c r="C9">
        <v>2.84835901644523</v>
      </c>
      <c r="D9">
        <v>1.0269346001325</v>
      </c>
      <c r="E9">
        <v>1.19782090077424</v>
      </c>
      <c r="F9">
        <v>4.7544379659227</v>
      </c>
      <c r="G9">
        <v>1.95363777127324</v>
      </c>
      <c r="H9">
        <v>1.96814797783387</v>
      </c>
      <c r="I9">
        <v>0.973705927345753</v>
      </c>
      <c r="J9">
        <v>0.733111824492404</v>
      </c>
      <c r="K9">
        <v>0.398938699216259</v>
      </c>
      <c r="L9">
        <v>0.971326760118092</v>
      </c>
      <c r="M9">
        <v>0.988906441554916</v>
      </c>
      <c r="N9">
        <v>9.96872614450478</v>
      </c>
      <c r="O9">
        <v>7.54369855806485</v>
      </c>
      <c r="P9">
        <v>2.87657740948101</v>
      </c>
      <c r="Q9">
        <v>13.3328116512878</v>
      </c>
      <c r="R9">
        <v>0.408171752762065</v>
      </c>
      <c r="S9">
        <v>0.953555189636031</v>
      </c>
      <c r="T9">
        <v>1.66098922399723</v>
      </c>
      <c r="U9">
        <v>0.899362003086325</v>
      </c>
      <c r="V9">
        <v>0.475897620529599</v>
      </c>
      <c r="W9">
        <v>0.37666635254407</v>
      </c>
      <c r="X9">
        <v>0.112473945729377</v>
      </c>
      <c r="Y9">
        <v>-0.918225297261293</v>
      </c>
      <c r="Z9">
        <v>4.3152298929454</v>
      </c>
      <c r="AA9">
        <f t="shared" si="0"/>
        <v>27.784054029613984</v>
      </c>
      <c r="AB9">
        <f t="shared" si="1"/>
        <v>32.03720830280246</v>
      </c>
      <c r="AC9">
        <f t="shared" si="2"/>
        <v>-0.14219540368621555</v>
      </c>
      <c r="AD9" s="3">
        <f t="shared" si="3"/>
        <v>29.91063116620822</v>
      </c>
      <c r="AE9" s="3">
        <f>AD9/SUM($AD$8:$AD$12)*100</f>
        <v>14.785863857387712</v>
      </c>
      <c r="AG9" s="3">
        <f>AD9/AD14*100</f>
        <v>21.141072342267194</v>
      </c>
      <c r="AH9" s="1" t="s">
        <v>160</v>
      </c>
      <c r="AL9" s="3">
        <f>(AD9*1000)/(Q_monthly_by_region!AA8/10000)</f>
        <v>0.8936350985513131</v>
      </c>
      <c r="AM9" s="3"/>
      <c r="AX9" t="s">
        <v>264</v>
      </c>
    </row>
    <row r="10" spans="1:50" ht="12.75" hidden="1">
      <c r="A10" t="s">
        <v>151</v>
      </c>
      <c r="B10" t="s">
        <v>254</v>
      </c>
      <c r="C10">
        <v>3.29274050682882</v>
      </c>
      <c r="D10">
        <v>1.4072542718183</v>
      </c>
      <c r="E10">
        <v>2.9932065606937</v>
      </c>
      <c r="F10">
        <v>4.92994823510208</v>
      </c>
      <c r="G10">
        <v>3.39334222385528</v>
      </c>
      <c r="H10">
        <v>4.16581750883251</v>
      </c>
      <c r="I10">
        <v>1.30091742518689</v>
      </c>
      <c r="J10">
        <v>0.504811647514353</v>
      </c>
      <c r="K10">
        <v>0.386954463459946</v>
      </c>
      <c r="L10">
        <v>0.927982113392549</v>
      </c>
      <c r="M10">
        <v>1.57939668964794</v>
      </c>
      <c r="N10">
        <v>7.0214932587392</v>
      </c>
      <c r="O10">
        <v>4.89595072889368</v>
      </c>
      <c r="P10">
        <v>2.36277648263263</v>
      </c>
      <c r="Q10">
        <v>2.34402793468919</v>
      </c>
      <c r="R10">
        <v>1.04729109055506</v>
      </c>
      <c r="S10">
        <v>1.35686856467181</v>
      </c>
      <c r="T10">
        <v>0.342923918086714</v>
      </c>
      <c r="U10">
        <v>0.505699126470991</v>
      </c>
      <c r="V10">
        <v>0.200314837032208</v>
      </c>
      <c r="W10">
        <v>0.245752809982576</v>
      </c>
      <c r="X10">
        <v>0.223066455731482</v>
      </c>
      <c r="Y10">
        <v>6.56939473392574</v>
      </c>
      <c r="Z10">
        <v>9.87845678316079</v>
      </c>
      <c r="AA10">
        <f t="shared" si="0"/>
        <v>31.903864905071565</v>
      </c>
      <c r="AB10">
        <f t="shared" si="1"/>
        <v>29.97252346583287</v>
      </c>
      <c r="AC10">
        <f t="shared" si="2"/>
        <v>0.062425797306128815</v>
      </c>
      <c r="AD10" s="3">
        <f t="shared" si="3"/>
        <v>30.938194185452218</v>
      </c>
      <c r="AE10" s="3">
        <f>AD10/SUM($AD$8:$AD$12)*100</f>
        <v>15.293823947664675</v>
      </c>
      <c r="AG10" s="3">
        <f>AD10/AD15*100</f>
        <v>25.300653050876193</v>
      </c>
      <c r="AH10" s="1" t="s">
        <v>160</v>
      </c>
      <c r="AL10" s="3">
        <f>(AD10*1000)/(Q_monthly_by_region!AA9/10000)</f>
        <v>0.5354686419595085</v>
      </c>
      <c r="AM10" s="3"/>
      <c r="AW10" s="1" t="s">
        <v>253</v>
      </c>
      <c r="AX10">
        <f>AX3/AY3</f>
        <v>13.57966907984082</v>
      </c>
    </row>
    <row r="11" spans="1:50" ht="12.75" hidden="1">
      <c r="A11" t="s">
        <v>151</v>
      </c>
      <c r="B11" t="s">
        <v>255</v>
      </c>
      <c r="C11">
        <v>9.77281751404586</v>
      </c>
      <c r="D11">
        <v>2.18055964280275</v>
      </c>
      <c r="E11">
        <v>5.10683864803846</v>
      </c>
      <c r="F11">
        <v>8.03295473654768</v>
      </c>
      <c r="G11">
        <v>5.24362374633899</v>
      </c>
      <c r="H11">
        <v>7.09335225517545</v>
      </c>
      <c r="I11">
        <v>0.85971155806777</v>
      </c>
      <c r="J11">
        <v>0.765909436232315</v>
      </c>
      <c r="K11">
        <v>0.299199323642343</v>
      </c>
      <c r="L11">
        <v>0.780155989034115</v>
      </c>
      <c r="M11">
        <v>3.01928115284274</v>
      </c>
      <c r="N11">
        <v>21.9614118457014</v>
      </c>
      <c r="O11">
        <v>5.52644441418729</v>
      </c>
      <c r="P11">
        <v>2.28937811124171</v>
      </c>
      <c r="Q11">
        <v>1.47255380174769</v>
      </c>
      <c r="R11">
        <v>1.55220004636025</v>
      </c>
      <c r="S11">
        <v>1.67564119292218</v>
      </c>
      <c r="T11">
        <v>0.264642541053081</v>
      </c>
      <c r="U11">
        <v>0.380857194463568</v>
      </c>
      <c r="V11">
        <v>1.15153560033994</v>
      </c>
      <c r="W11">
        <v>0.26779377776031</v>
      </c>
      <c r="X11">
        <v>0.1603579797436</v>
      </c>
      <c r="Y11">
        <v>5.36028691120287</v>
      </c>
      <c r="Z11">
        <v>15.0100263436647</v>
      </c>
      <c r="AA11">
        <f t="shared" si="0"/>
        <v>65.11581584846986</v>
      </c>
      <c r="AB11">
        <f t="shared" si="1"/>
        <v>35.11171791468719</v>
      </c>
      <c r="AC11">
        <f t="shared" si="2"/>
        <v>0.598719669281376</v>
      </c>
      <c r="AD11" s="3">
        <f t="shared" si="3"/>
        <v>50.113766881578535</v>
      </c>
      <c r="AE11" s="3">
        <f>AD11/SUM($AD$8:$AD$12)*100</f>
        <v>24.77297554753737</v>
      </c>
      <c r="AG11" s="3">
        <f>AD11/AD16*100</f>
        <v>25.1578275591596</v>
      </c>
      <c r="AH11" s="1" t="s">
        <v>160</v>
      </c>
      <c r="AL11" s="3">
        <f>(AD11*1000)/(Q_monthly_by_region!AA10/10000)</f>
        <v>0.8114889423275107</v>
      </c>
      <c r="AM11" s="3"/>
      <c r="AW11" s="1" t="s">
        <v>149</v>
      </c>
      <c r="AX11">
        <f>AX4/AY4</f>
        <v>5.2364777193907965</v>
      </c>
    </row>
    <row r="12" spans="1:50" ht="12.75" hidden="1">
      <c r="A12" t="s">
        <v>151</v>
      </c>
      <c r="B12" t="s">
        <v>256</v>
      </c>
      <c r="C12">
        <v>4.52968664179153</v>
      </c>
      <c r="D12">
        <v>1.24338315414411</v>
      </c>
      <c r="E12">
        <v>6.64971566215368</v>
      </c>
      <c r="F12">
        <v>11.3227341032711</v>
      </c>
      <c r="G12">
        <v>6.45956563944944</v>
      </c>
      <c r="H12">
        <v>3.88917579628678</v>
      </c>
      <c r="I12">
        <v>1.8866876852377</v>
      </c>
      <c r="J12">
        <v>1.23991984222872</v>
      </c>
      <c r="K12">
        <v>1.13110645165149</v>
      </c>
      <c r="L12">
        <v>1.03489585822223</v>
      </c>
      <c r="M12">
        <v>4.10694227939355</v>
      </c>
      <c r="N12">
        <v>23.3877325115027</v>
      </c>
      <c r="O12">
        <v>7.07345536425875</v>
      </c>
      <c r="P12">
        <v>6.76318233417957</v>
      </c>
      <c r="Q12">
        <v>11.7575402406354</v>
      </c>
      <c r="R12">
        <v>6.97080157587783</v>
      </c>
      <c r="S12">
        <v>6.41231257895672</v>
      </c>
      <c r="T12">
        <v>1.21092581299504</v>
      </c>
      <c r="U12">
        <v>2.06929279646005</v>
      </c>
      <c r="V12">
        <v>0.583052965882675</v>
      </c>
      <c r="W12">
        <v>0.483052087544075</v>
      </c>
      <c r="X12">
        <v>0.341076109448705</v>
      </c>
      <c r="Y12">
        <v>22.862085837863</v>
      </c>
      <c r="Z12">
        <v>1.97819141990603</v>
      </c>
      <c r="AA12">
        <f t="shared" si="0"/>
        <v>66.88154562533303</v>
      </c>
      <c r="AB12">
        <f t="shared" si="1"/>
        <v>68.50496912400784</v>
      </c>
      <c r="AC12">
        <f t="shared" si="2"/>
        <v>-0.023982056140236283</v>
      </c>
      <c r="AD12" s="3">
        <f t="shared" si="3"/>
        <v>67.69325737467045</v>
      </c>
      <c r="AE12" s="3">
        <f>AD12/SUM($AD$8:$AD$12)*100</f>
        <v>33.46312827847521</v>
      </c>
      <c r="AF12" s="13"/>
      <c r="AG12" s="3">
        <f>AD12/AD17*100</f>
        <v>35.28297105059736</v>
      </c>
      <c r="AH12" s="1" t="s">
        <v>160</v>
      </c>
      <c r="AL12" s="3">
        <f>(AD12*1000)/(Q_monthly_by_region!AA11/10000)</f>
        <v>0.6872827898997448</v>
      </c>
      <c r="AM12" s="3">
        <f>(1000*SUM(AD8:AD12))/(2768.5*100)</f>
        <v>0.730691990070974</v>
      </c>
      <c r="AW12" s="1" t="s">
        <v>254</v>
      </c>
      <c r="AX12">
        <f>AX5/AY5</f>
        <v>9.009109120575504</v>
      </c>
    </row>
    <row r="13" spans="1:50" ht="12.75" hidden="1">
      <c r="A13" t="s">
        <v>152</v>
      </c>
      <c r="B13" t="s">
        <v>253</v>
      </c>
      <c r="C13">
        <v>4.24711724870203</v>
      </c>
      <c r="D13">
        <v>1.68979064447443</v>
      </c>
      <c r="E13">
        <v>1.20953317855961</v>
      </c>
      <c r="F13">
        <v>4.98627334516947</v>
      </c>
      <c r="G13">
        <v>3.70863361905038</v>
      </c>
      <c r="H13">
        <v>0.910346633382266</v>
      </c>
      <c r="I13">
        <v>0.441255226020448</v>
      </c>
      <c r="J13">
        <v>0.390344042162498</v>
      </c>
      <c r="K13">
        <v>3.80964166557456</v>
      </c>
      <c r="L13">
        <v>4.49427861442372</v>
      </c>
      <c r="M13">
        <v>8.11189052995371</v>
      </c>
      <c r="N13">
        <v>8.11659057666656</v>
      </c>
      <c r="O13">
        <v>13.9037342743968</v>
      </c>
      <c r="P13">
        <v>7.04039901518887</v>
      </c>
      <c r="Q13">
        <v>6.31065103662369</v>
      </c>
      <c r="R13">
        <v>3.0711849822443</v>
      </c>
      <c r="S13">
        <v>0.323953587998594</v>
      </c>
      <c r="T13">
        <v>1.15936905032945</v>
      </c>
      <c r="U13">
        <v>1.02358378749438</v>
      </c>
      <c r="V13">
        <v>0.287764386351429</v>
      </c>
      <c r="W13">
        <v>0.190385270999884</v>
      </c>
      <c r="X13">
        <v>0.154248075357491</v>
      </c>
      <c r="Y13">
        <v>4.11343245345362</v>
      </c>
      <c r="Z13">
        <v>8.5996933034493</v>
      </c>
      <c r="AA13">
        <f t="shared" si="0"/>
        <v>42.11569532413968</v>
      </c>
      <c r="AB13">
        <f t="shared" si="1"/>
        <v>46.17839922388781</v>
      </c>
      <c r="AC13">
        <f t="shared" si="2"/>
        <v>-0.09202662806714046</v>
      </c>
      <c r="AD13" s="3">
        <f t="shared" si="3"/>
        <v>44.14704727401374</v>
      </c>
      <c r="AE13" s="3">
        <f>AD13/SUM($AD$13:$AD$17)*100</f>
        <v>6.316050236450751</v>
      </c>
      <c r="AL13" s="3">
        <f>(AD13*1000)/(Q_monthly_by_region!AA12/10000)</f>
        <v>1.7413566242644094</v>
      </c>
      <c r="AM13" s="3"/>
      <c r="AW13" s="1" t="s">
        <v>255</v>
      </c>
      <c r="AX13">
        <f>AX6/AY6</f>
        <v>6.076921324211406</v>
      </c>
    </row>
    <row r="14" spans="1:50" ht="12.75" hidden="1">
      <c r="A14" t="s">
        <v>152</v>
      </c>
      <c r="B14" t="s">
        <v>149</v>
      </c>
      <c r="C14">
        <v>18.5639801453961</v>
      </c>
      <c r="D14">
        <v>3.82967463911769</v>
      </c>
      <c r="E14">
        <v>9.2503776409554</v>
      </c>
      <c r="F14">
        <v>10.337887951372</v>
      </c>
      <c r="G14">
        <v>6.66266633176069</v>
      </c>
      <c r="H14">
        <v>3.04584799631089</v>
      </c>
      <c r="I14">
        <v>2.11264751954667</v>
      </c>
      <c r="J14">
        <v>1.38608436068839</v>
      </c>
      <c r="K14">
        <v>1.1041051546746</v>
      </c>
      <c r="L14">
        <v>3.34679140133543</v>
      </c>
      <c r="M14">
        <v>13.4397215078982</v>
      </c>
      <c r="N14">
        <v>51.940581004123</v>
      </c>
      <c r="O14">
        <v>51.3772911447685</v>
      </c>
      <c r="P14">
        <v>15.5732989656912</v>
      </c>
      <c r="Q14">
        <v>14.8589176931643</v>
      </c>
      <c r="R14">
        <v>3.81157247955947</v>
      </c>
      <c r="S14">
        <v>3.57140159116129</v>
      </c>
      <c r="T14">
        <v>2.81562918540094</v>
      </c>
      <c r="U14">
        <v>1.95134367742239</v>
      </c>
      <c r="V14">
        <v>1.28900025540425</v>
      </c>
      <c r="W14">
        <v>0.82014389986115</v>
      </c>
      <c r="X14">
        <v>0.68263124629012</v>
      </c>
      <c r="Y14">
        <v>33.543779875862</v>
      </c>
      <c r="Z14">
        <v>27.6469138695367</v>
      </c>
      <c r="AA14">
        <f t="shared" si="0"/>
        <v>125.02036565317906</v>
      </c>
      <c r="AB14">
        <f t="shared" si="1"/>
        <v>157.9419238841223</v>
      </c>
      <c r="AC14">
        <f t="shared" si="2"/>
        <v>-0.232692195732346</v>
      </c>
      <c r="AD14" s="3">
        <f t="shared" si="3"/>
        <v>141.4811447686507</v>
      </c>
      <c r="AE14" s="3">
        <f>AD14/SUM($AD$13:$AD$17)*100</f>
        <v>20.24149004400935</v>
      </c>
      <c r="AF14" s="11"/>
      <c r="AL14" s="3">
        <f>(AD14*1000)/(Q_monthly_by_region!AA13/10000)</f>
        <v>4.227009321398873</v>
      </c>
      <c r="AM14" s="3"/>
      <c r="AW14" s="1" t="s">
        <v>256</v>
      </c>
      <c r="AX14">
        <f>AX7/AY7</f>
        <v>9.415831017456089</v>
      </c>
    </row>
    <row r="15" spans="1:39" ht="12.75" hidden="1">
      <c r="A15" t="s">
        <v>152</v>
      </c>
      <c r="B15" t="s">
        <v>254</v>
      </c>
      <c r="C15">
        <v>22.75882362914</v>
      </c>
      <c r="D15">
        <v>7.17777162090146</v>
      </c>
      <c r="E15">
        <v>13.6412533529344</v>
      </c>
      <c r="F15">
        <v>14.5965576577058</v>
      </c>
      <c r="G15">
        <v>7.50021144627192</v>
      </c>
      <c r="H15">
        <v>6.93559729657274</v>
      </c>
      <c r="I15">
        <v>3.85860424718391</v>
      </c>
      <c r="J15">
        <v>1.52778083604343</v>
      </c>
      <c r="K15">
        <v>1.25804984155592</v>
      </c>
      <c r="L15">
        <v>2.47184183659156</v>
      </c>
      <c r="M15">
        <v>9.28300267121592</v>
      </c>
      <c r="N15">
        <v>33.8344257712722</v>
      </c>
      <c r="O15">
        <v>26.9849379949934</v>
      </c>
      <c r="P15">
        <v>11.4575330784816</v>
      </c>
      <c r="Q15">
        <v>5.42403132281356</v>
      </c>
      <c r="R15">
        <v>3.97860024862066</v>
      </c>
      <c r="S15">
        <v>2.66838037818056</v>
      </c>
      <c r="T15">
        <v>1.67160375228302</v>
      </c>
      <c r="U15">
        <v>1.41570285767925</v>
      </c>
      <c r="V15">
        <v>1.02897610778079</v>
      </c>
      <c r="W15">
        <v>0.898877553356734</v>
      </c>
      <c r="X15">
        <v>1.18945114925565</v>
      </c>
      <c r="Y15">
        <v>23.9193634729236</v>
      </c>
      <c r="Z15">
        <v>39.0830141331508</v>
      </c>
      <c r="AA15">
        <f t="shared" si="0"/>
        <v>124.84392020738926</v>
      </c>
      <c r="AB15">
        <f t="shared" si="1"/>
        <v>119.72047204951961</v>
      </c>
      <c r="AC15">
        <f t="shared" si="2"/>
        <v>0.04189856185186264</v>
      </c>
      <c r="AD15" s="3">
        <f t="shared" si="3"/>
        <v>122.28219612845444</v>
      </c>
      <c r="AE15" s="3">
        <f>AD15/SUM($AD$13:$AD$17)*100</f>
        <v>17.4947259547631</v>
      </c>
      <c r="AL15" s="3">
        <f>(AD15*1000)/(Q_monthly_by_region!AA14/10000)</f>
        <v>2.1164222159908417</v>
      </c>
      <c r="AM15" s="3"/>
    </row>
    <row r="16" spans="1:39" ht="12.75" hidden="1">
      <c r="A16" t="s">
        <v>152</v>
      </c>
      <c r="B16" t="s">
        <v>255</v>
      </c>
      <c r="C16">
        <v>51.5345807946837</v>
      </c>
      <c r="D16">
        <v>12.6850239234753</v>
      </c>
      <c r="E16">
        <v>23.6212956781897</v>
      </c>
      <c r="F16">
        <v>27.7117015910056</v>
      </c>
      <c r="G16">
        <v>15.3890956859891</v>
      </c>
      <c r="H16">
        <v>15.2295160971099</v>
      </c>
      <c r="I16">
        <v>7.41766688316857</v>
      </c>
      <c r="J16">
        <v>3.30474587333616</v>
      </c>
      <c r="K16">
        <v>2.44201606781964</v>
      </c>
      <c r="L16">
        <v>3.98351998225891</v>
      </c>
      <c r="M16">
        <v>18.20117312317</v>
      </c>
      <c r="N16">
        <v>51.2494397100129</v>
      </c>
      <c r="O16">
        <v>37.2303570192793</v>
      </c>
      <c r="P16">
        <v>18.1817356480703</v>
      </c>
      <c r="Q16">
        <v>8.57478352449254</v>
      </c>
      <c r="R16">
        <v>7.73636023063692</v>
      </c>
      <c r="S16">
        <v>4.39447102487259</v>
      </c>
      <c r="T16">
        <v>3.48286430779734</v>
      </c>
      <c r="U16">
        <v>2.41717745615789</v>
      </c>
      <c r="V16">
        <v>1.97925572158396</v>
      </c>
      <c r="W16">
        <v>1.57271121806578</v>
      </c>
      <c r="X16">
        <v>1.73500957272709</v>
      </c>
      <c r="Y16">
        <v>24.3859791372842</v>
      </c>
      <c r="Z16">
        <v>53.9345461970883</v>
      </c>
      <c r="AA16">
        <f t="shared" si="0"/>
        <v>232.76977541021952</v>
      </c>
      <c r="AB16">
        <f t="shared" si="1"/>
        <v>165.6252510580562</v>
      </c>
      <c r="AC16">
        <f t="shared" si="2"/>
        <v>0.33707511334863544</v>
      </c>
      <c r="AD16" s="3">
        <f t="shared" si="3"/>
        <v>199.1975132341379</v>
      </c>
      <c r="AE16" s="3">
        <f>AD16/SUM($AD$13:$AD$17)*100</f>
        <v>28.49888221864065</v>
      </c>
      <c r="AL16" s="3">
        <f>(AD16*1000)/(Q_monthly_by_region!AA15/10000)</f>
        <v>3.2255922750852117</v>
      </c>
      <c r="AM16" s="3"/>
    </row>
    <row r="17" spans="1:39" ht="12.75" hidden="1">
      <c r="A17" t="s">
        <v>152</v>
      </c>
      <c r="B17" t="s">
        <v>256</v>
      </c>
      <c r="C17">
        <v>18.4656117568265</v>
      </c>
      <c r="D17">
        <v>5.22449637348099</v>
      </c>
      <c r="E17">
        <v>17.1007627979091</v>
      </c>
      <c r="F17">
        <v>21.7697133492006</v>
      </c>
      <c r="G17">
        <v>13.67031836195</v>
      </c>
      <c r="H17">
        <v>7.09131106596843</v>
      </c>
      <c r="I17">
        <v>4.5361872373587</v>
      </c>
      <c r="J17">
        <v>2.28810456256667</v>
      </c>
      <c r="K17">
        <v>2.60378198868442</v>
      </c>
      <c r="L17">
        <v>4.03178042669131</v>
      </c>
      <c r="M17">
        <v>14.8876009864105</v>
      </c>
      <c r="N17">
        <v>63.2865354907</v>
      </c>
      <c r="O17">
        <v>45.7608966422289</v>
      </c>
      <c r="P17">
        <v>21.4603036945032</v>
      </c>
      <c r="Q17">
        <v>17.6855604919989</v>
      </c>
      <c r="R17">
        <v>14.6118044609092</v>
      </c>
      <c r="S17">
        <v>14.7836795538061</v>
      </c>
      <c r="T17">
        <v>5.95834681945358</v>
      </c>
      <c r="U17">
        <v>4.77530057946504</v>
      </c>
      <c r="V17">
        <v>1.67274770748468</v>
      </c>
      <c r="W17">
        <v>1.77626991120723</v>
      </c>
      <c r="X17">
        <v>2.19991897449214</v>
      </c>
      <c r="Y17">
        <v>56.313109999949</v>
      </c>
      <c r="Z17">
        <v>21.7621672645033</v>
      </c>
      <c r="AA17">
        <f t="shared" si="0"/>
        <v>174.95620439774723</v>
      </c>
      <c r="AB17">
        <f t="shared" si="1"/>
        <v>208.76010610000125</v>
      </c>
      <c r="AC17">
        <f t="shared" si="2"/>
        <v>-0.17619215434655008</v>
      </c>
      <c r="AD17" s="3">
        <f t="shared" si="3"/>
        <v>191.85815524887428</v>
      </c>
      <c r="AE17" s="3">
        <f>AD17/SUM($AD$13:$AD$17)*100</f>
        <v>27.448851546136144</v>
      </c>
      <c r="AF17" s="142" t="s">
        <v>643</v>
      </c>
      <c r="AL17" s="3">
        <f>(AD17*1000)/(Q_monthly_by_region!AA16/10000)</f>
        <v>1.947916429470042</v>
      </c>
      <c r="AM17" s="3">
        <f>(1000*SUM(AD13:AD17))/(2768.5*100)</f>
        <v>2.5247103364787105</v>
      </c>
    </row>
    <row r="18" spans="1:39" ht="12.75" hidden="1">
      <c r="A18" t="s">
        <v>153</v>
      </c>
      <c r="B18" t="s">
        <v>253</v>
      </c>
      <c r="C18">
        <v>2.18642671471068</v>
      </c>
      <c r="D18">
        <v>0.285125581621396</v>
      </c>
      <c r="E18">
        <v>0.423579157523526</v>
      </c>
      <c r="F18">
        <v>1.24956272455865</v>
      </c>
      <c r="G18">
        <v>0.885635407009434</v>
      </c>
      <c r="H18">
        <v>0.241519566411325</v>
      </c>
      <c r="I18">
        <v>0.124501750812156</v>
      </c>
      <c r="J18">
        <v>0.133398849148101</v>
      </c>
      <c r="K18">
        <v>0.484809061293073</v>
      </c>
      <c r="L18">
        <v>0.942617419218444</v>
      </c>
      <c r="M18">
        <v>1.78661985752103</v>
      </c>
      <c r="N18">
        <v>2.5781319246657</v>
      </c>
      <c r="O18">
        <v>4.11869015130025</v>
      </c>
      <c r="P18">
        <v>2.55238720239527</v>
      </c>
      <c r="Q18">
        <v>1.48675165644876</v>
      </c>
      <c r="R18">
        <v>0.761799241487863</v>
      </c>
      <c r="S18">
        <v>0.081963396753465</v>
      </c>
      <c r="T18">
        <v>0.160612096130664</v>
      </c>
      <c r="U18">
        <v>0.054880066661679</v>
      </c>
      <c r="V18">
        <v>0.023632144590302</v>
      </c>
      <c r="W18">
        <v>0.019295751748832</v>
      </c>
      <c r="X18">
        <v>0.064901366583612</v>
      </c>
      <c r="Y18">
        <v>2.30360574447509</v>
      </c>
      <c r="Z18">
        <v>4.57415840473163</v>
      </c>
      <c r="AA18">
        <f t="shared" si="0"/>
        <v>11.321928014493514</v>
      </c>
      <c r="AB18">
        <f t="shared" si="1"/>
        <v>16.20267722330742</v>
      </c>
      <c r="AC18">
        <f t="shared" si="2"/>
        <v>-0.35464626407145894</v>
      </c>
      <c r="AD18" s="3">
        <f t="shared" si="3"/>
        <v>13.762302618900463</v>
      </c>
      <c r="AE18" s="3">
        <f>AD18/SUM($AD$18:$AD$26)*100</f>
        <v>3.0774400592491102</v>
      </c>
      <c r="AF18" s="142">
        <v>105</v>
      </c>
      <c r="AG18" s="2">
        <f>AD18/AD13*100</f>
        <v>31.17377824496399</v>
      </c>
      <c r="AH18" s="1" t="s">
        <v>159</v>
      </c>
      <c r="AL18" s="3">
        <f>(AD18*1000)/(Q_monthly_by_region!AA17/10000)</f>
        <v>0.5428466525021779</v>
      </c>
      <c r="AM18" s="3"/>
    </row>
    <row r="19" spans="1:46" ht="13.5" thickBot="1">
      <c r="A19" t="s">
        <v>153</v>
      </c>
      <c r="B19" t="s">
        <v>149</v>
      </c>
      <c r="C19">
        <v>12.6474619097833</v>
      </c>
      <c r="D19">
        <v>2.61043449645701</v>
      </c>
      <c r="E19">
        <v>7.43173716730483</v>
      </c>
      <c r="F19">
        <v>5.00019891183896</v>
      </c>
      <c r="G19">
        <v>4.26682201552362</v>
      </c>
      <c r="H19">
        <v>0.953583250405965</v>
      </c>
      <c r="I19">
        <v>0.99762750868863</v>
      </c>
      <c r="J19">
        <v>0.58009073330344</v>
      </c>
      <c r="K19">
        <v>0.550663270219793</v>
      </c>
      <c r="L19">
        <v>1.68615414683408</v>
      </c>
      <c r="M19">
        <v>9.83573230867132</v>
      </c>
      <c r="N19">
        <v>33.8222327837589</v>
      </c>
      <c r="O19">
        <v>40.6017677053931</v>
      </c>
      <c r="P19">
        <v>11.4049184628633</v>
      </c>
      <c r="Q19">
        <v>1.34577262726211</v>
      </c>
      <c r="R19">
        <v>3.04598989644914</v>
      </c>
      <c r="S19">
        <v>2.28673823362847</v>
      </c>
      <c r="T19">
        <v>1.0085166928761</v>
      </c>
      <c r="U19">
        <v>0.799665580957051</v>
      </c>
      <c r="V19">
        <v>0.682264555147597</v>
      </c>
      <c r="W19">
        <v>0.298538723714535</v>
      </c>
      <c r="X19">
        <v>0.5347052335636</v>
      </c>
      <c r="Y19">
        <v>27.7191592483946</v>
      </c>
      <c r="Z19">
        <v>19.3911314420897</v>
      </c>
      <c r="AA19">
        <f t="shared" si="0"/>
        <v>80.38273850278983</v>
      </c>
      <c r="AB19">
        <f t="shared" si="1"/>
        <v>109.11916840233931</v>
      </c>
      <c r="AC19">
        <f t="shared" si="2"/>
        <v>-0.30328380720660375</v>
      </c>
      <c r="AD19" s="3">
        <f t="shared" si="3"/>
        <v>94.75095345256457</v>
      </c>
      <c r="AE19" s="3">
        <f>AD19/SUM($AD$18:$AD$26)*100</f>
        <v>21.18761575599379</v>
      </c>
      <c r="AF19" s="142">
        <f>AF18*320/1000000000000*1000*365.25*86400</f>
        <v>1060.33536</v>
      </c>
      <c r="AG19" s="2">
        <f>AD19/AD14*100</f>
        <v>66.97072857835641</v>
      </c>
      <c r="AH19" s="1" t="s">
        <v>159</v>
      </c>
      <c r="AL19" s="3">
        <f>(AD19*1000)/(Q_monthly_by_region!AA18/10000)</f>
        <v>2.8308589396158643</v>
      </c>
      <c r="AM19" s="3"/>
      <c r="AO19" s="1" t="s">
        <v>99</v>
      </c>
      <c r="AT19" s="1"/>
    </row>
    <row r="20" spans="1:49" ht="81" customHeight="1" thickBot="1" thickTop="1">
      <c r="A20" t="s">
        <v>153</v>
      </c>
      <c r="B20" t="s">
        <v>254</v>
      </c>
      <c r="C20">
        <v>18.1127775252804</v>
      </c>
      <c r="D20">
        <v>5.40894880390224</v>
      </c>
      <c r="E20">
        <v>9.95511071138392</v>
      </c>
      <c r="F20">
        <v>9.2314802939195</v>
      </c>
      <c r="G20">
        <v>3.95485194886289</v>
      </c>
      <c r="H20">
        <v>2.61776278174786</v>
      </c>
      <c r="I20">
        <v>2.45206886522731</v>
      </c>
      <c r="J20">
        <v>0.920840296404967</v>
      </c>
      <c r="K20">
        <v>0.726061480045527</v>
      </c>
      <c r="L20">
        <v>1.34187537244713</v>
      </c>
      <c r="M20">
        <v>6.90899618070523</v>
      </c>
      <c r="N20">
        <v>25.1546626457549</v>
      </c>
      <c r="O20">
        <v>21.2368224519137</v>
      </c>
      <c r="P20">
        <v>8.66153229197268</v>
      </c>
      <c r="Q20">
        <v>2.92069735970654</v>
      </c>
      <c r="R20">
        <v>2.6563342779708</v>
      </c>
      <c r="S20">
        <v>1.79423948132418</v>
      </c>
      <c r="T20">
        <v>1.22202747161152</v>
      </c>
      <c r="U20">
        <v>0.896327092033002</v>
      </c>
      <c r="V20">
        <v>0.737774088287326</v>
      </c>
      <c r="W20">
        <v>0.59475449173286</v>
      </c>
      <c r="X20">
        <v>0.81570108231988</v>
      </c>
      <c r="Y20">
        <v>15.7410756809776</v>
      </c>
      <c r="Z20">
        <v>27.2907950912269</v>
      </c>
      <c r="AA20">
        <f t="shared" si="0"/>
        <v>86.78543690568189</v>
      </c>
      <c r="AB20">
        <f t="shared" si="1"/>
        <v>84.568080861077</v>
      </c>
      <c r="AC20">
        <f t="shared" si="2"/>
        <v>0.025880484667062335</v>
      </c>
      <c r="AD20" s="3">
        <f t="shared" si="3"/>
        <v>85.67675888337943</v>
      </c>
      <c r="AE20" s="3">
        <f>AD20/SUM($AD$18:$AD$26)*100</f>
        <v>19.15850110520273</v>
      </c>
      <c r="AG20" s="2">
        <f>AD20/AD15*100</f>
        <v>70.06478587723277</v>
      </c>
      <c r="AH20" s="1" t="s">
        <v>159</v>
      </c>
      <c r="AL20" s="3">
        <f>(AD20*1000)/(Q_monthly_by_region!AA19/10000)</f>
        <v>1.4828666938921682</v>
      </c>
      <c r="AM20" s="3"/>
      <c r="AO20" s="260"/>
      <c r="AP20" s="261" t="s">
        <v>92</v>
      </c>
      <c r="AQ20" s="261">
        <v>2005</v>
      </c>
      <c r="AR20" s="261">
        <v>2006</v>
      </c>
      <c r="AS20" s="257" t="s">
        <v>98</v>
      </c>
      <c r="AT20" s="218">
        <f>AP34/AP36</f>
        <v>0.6706640184715279</v>
      </c>
      <c r="AU20" s="218">
        <f>AQ34/AQ36</f>
        <v>0.7147077169672515</v>
      </c>
      <c r="AV20" s="218">
        <f>AR34/AR36</f>
        <v>0.638616286710553</v>
      </c>
      <c r="AW20" t="s">
        <v>796</v>
      </c>
    </row>
    <row r="21" spans="30:48" ht="52.5" customHeight="1" thickTop="1">
      <c r="AD21" s="3"/>
      <c r="AE21" s="3"/>
      <c r="AG21" s="2"/>
      <c r="AH21" s="1"/>
      <c r="AL21" s="3"/>
      <c r="AM21" s="3"/>
      <c r="AO21" s="268" t="s">
        <v>91</v>
      </c>
      <c r="AP21" s="269">
        <f>Q_monthly_by_region!AC8</f>
        <v>5149.74034039694</v>
      </c>
      <c r="AQ21" s="269">
        <f>AVERAGE(Q_monthly_by_region!AD2:AO2)</f>
        <v>4500.924537530979</v>
      </c>
      <c r="AR21" s="269">
        <f>AVERAGE(Q_monthly_by_region!AP2:BA2)</f>
        <v>5798.5561432629</v>
      </c>
      <c r="AS21" s="245" t="str">
        <f>CONCATENATE(ROUND((AR21-AQ21),0)," CFS  (",ROUND(100*(AR21-AQ21)/AP21,1),"%)")</f>
        <v>1298 CFS  (25.2%)</v>
      </c>
      <c r="AT21" s="218"/>
      <c r="AU21" s="218"/>
      <c r="AV21" s="218"/>
    </row>
    <row r="22" spans="30:48" ht="72" customHeight="1" thickBot="1">
      <c r="AD22" s="3"/>
      <c r="AE22" s="3"/>
      <c r="AG22" s="2"/>
      <c r="AH22" s="1"/>
      <c r="AL22" s="3"/>
      <c r="AM22" s="3"/>
      <c r="AO22" s="258" t="s">
        <v>97</v>
      </c>
      <c r="AP22" s="259">
        <f>AVERAGE(18.4,38.7)</f>
        <v>28.55</v>
      </c>
      <c r="AQ22" s="259">
        <v>18.4</v>
      </c>
      <c r="AR22" s="259">
        <v>38.7</v>
      </c>
      <c r="AS22" s="267" t="str">
        <f>CONCATENATE(ROUND((AR22-AQ22),1)," Inches SWE  (",ROUND(100*(AR22-AQ22)/AP22,1),"%)")</f>
        <v>20.3 Inches SWE  (71.1%)</v>
      </c>
      <c r="AT22" s="218"/>
      <c r="AU22" s="218"/>
      <c r="AV22" s="218"/>
    </row>
    <row r="23" spans="30:48" ht="19.5" customHeight="1" thickBot="1" thickTop="1">
      <c r="AD23" s="3"/>
      <c r="AE23" s="3"/>
      <c r="AG23" s="2"/>
      <c r="AH23" s="1"/>
      <c r="AL23" s="3"/>
      <c r="AM23" s="3"/>
      <c r="AO23" s="262"/>
      <c r="AP23" s="242"/>
      <c r="AQ23" s="242"/>
      <c r="AR23" s="242"/>
      <c r="AS23" s="244"/>
      <c r="AT23" s="218"/>
      <c r="AU23" s="218"/>
      <c r="AV23" s="218"/>
    </row>
    <row r="24" spans="30:48" ht="84" customHeight="1" thickBot="1" thickTop="1">
      <c r="AD24" s="3"/>
      <c r="AE24" s="3"/>
      <c r="AG24" s="2"/>
      <c r="AH24" s="1"/>
      <c r="AL24" s="3"/>
      <c r="AM24" s="3"/>
      <c r="AO24" s="254" t="s">
        <v>741</v>
      </c>
      <c r="AP24" s="255" t="s">
        <v>92</v>
      </c>
      <c r="AQ24" s="256">
        <v>2005</v>
      </c>
      <c r="AR24" s="256">
        <v>2006</v>
      </c>
      <c r="AS24" s="257" t="s">
        <v>98</v>
      </c>
      <c r="AT24" s="218"/>
      <c r="AU24" s="218"/>
      <c r="AV24" s="218"/>
    </row>
    <row r="25" spans="1:49" ht="15.75" thickTop="1">
      <c r="A25" t="s">
        <v>153</v>
      </c>
      <c r="B25" t="s">
        <v>255</v>
      </c>
      <c r="C25">
        <v>40.0146956881932</v>
      </c>
      <c r="D25">
        <v>10.269551478573</v>
      </c>
      <c r="E25">
        <v>17.894468043869</v>
      </c>
      <c r="F25">
        <v>19.2291612383874</v>
      </c>
      <c r="G25">
        <v>10.0276226377753</v>
      </c>
      <c r="H25">
        <v>7.98267078893961</v>
      </c>
      <c r="I25">
        <v>6.50711110980698</v>
      </c>
      <c r="J25">
        <v>2.42768737537908</v>
      </c>
      <c r="K25">
        <v>1.94991006206801</v>
      </c>
      <c r="L25">
        <v>2.84356933246617</v>
      </c>
      <c r="M25">
        <v>14.5706003348414</v>
      </c>
      <c r="N25">
        <v>27.3545228324688</v>
      </c>
      <c r="O25">
        <v>30.8256754287475</v>
      </c>
      <c r="P25">
        <v>15.6390047223628</v>
      </c>
      <c r="Q25">
        <v>6.98357649391169</v>
      </c>
      <c r="R25">
        <v>5.99158543953695</v>
      </c>
      <c r="S25">
        <v>3.46011316790321</v>
      </c>
      <c r="T25">
        <v>3.11549033732117</v>
      </c>
      <c r="U25">
        <v>2.19881133568765</v>
      </c>
      <c r="V25">
        <v>0.77318861590928</v>
      </c>
      <c r="W25">
        <v>1.24771468485733</v>
      </c>
      <c r="X25">
        <v>1.37222696267155</v>
      </c>
      <c r="Y25">
        <v>17.1356248762318</v>
      </c>
      <c r="Z25">
        <v>37.2789644553958</v>
      </c>
      <c r="AA25">
        <f t="shared" si="0"/>
        <v>161.07157092276796</v>
      </c>
      <c r="AB25">
        <f t="shared" si="1"/>
        <v>126.02197652053673</v>
      </c>
      <c r="AC25">
        <f t="shared" si="2"/>
        <v>0.2441684580817884</v>
      </c>
      <c r="AD25" s="3">
        <f t="shared" si="3"/>
        <v>143.54677372165236</v>
      </c>
      <c r="AE25" s="3">
        <f>AD25/SUM($AD$18:$AD$26)*100</f>
        <v>32.099031975964095</v>
      </c>
      <c r="AG25" s="2">
        <f>AD25/AD16*100</f>
        <v>72.0625330060856</v>
      </c>
      <c r="AH25" s="1" t="s">
        <v>159</v>
      </c>
      <c r="AL25" s="3">
        <f>(AD25*1000)/(Q_monthly_by_region!AA20/10000)</f>
        <v>2.324443497875029</v>
      </c>
      <c r="AM25" s="3"/>
      <c r="AO25" s="248" t="s">
        <v>144</v>
      </c>
      <c r="AP25" s="269">
        <f>SUM(AD18:AD26)</f>
        <v>447.19969695391694</v>
      </c>
      <c r="AQ25" s="269">
        <f>SUM(C18:N26)</f>
        <v>432.9402811314615</v>
      </c>
      <c r="AR25" s="269">
        <f>SUM(O18:Z26)</f>
        <v>461.45911277637236</v>
      </c>
      <c r="AS25" s="245" t="str">
        <f>CONCATENATE(ROUND((AR25-AQ25),1)," MT  (",ROUND(100*(AR25-AQ25)/AP25,1),"%)")</f>
        <v>28.5 MT  (6.4%)</v>
      </c>
      <c r="AT25" s="218">
        <f>AP29/AP33</f>
        <v>0.21859292005169034</v>
      </c>
      <c r="AU25" s="218">
        <f>AQ29/$AQ$33</f>
        <v>0.2503503016470027</v>
      </c>
      <c r="AV25" s="218">
        <f>AR29/$AR$33</f>
        <v>0.19094129413415029</v>
      </c>
      <c r="AW25" t="s">
        <v>797</v>
      </c>
    </row>
    <row r="26" spans="1:50" ht="15">
      <c r="A26" t="s">
        <v>153</v>
      </c>
      <c r="B26" t="s">
        <v>256</v>
      </c>
      <c r="C26">
        <v>12.7138903694113</v>
      </c>
      <c r="D26">
        <v>3.61565148255121</v>
      </c>
      <c r="E26">
        <v>9.93579627038592</v>
      </c>
      <c r="F26">
        <v>8.36111233217587</v>
      </c>
      <c r="G26">
        <v>6.36621188717995</v>
      </c>
      <c r="H26">
        <v>2.5180626305398</v>
      </c>
      <c r="I26">
        <v>1.17916744419316</v>
      </c>
      <c r="J26">
        <v>0.80566635214085</v>
      </c>
      <c r="K26">
        <v>0.853963263199497</v>
      </c>
      <c r="L26">
        <v>2.27857658040926</v>
      </c>
      <c r="M26">
        <v>9.38643711048536</v>
      </c>
      <c r="N26">
        <v>35.3640710630561</v>
      </c>
      <c r="O26">
        <v>36.8942290695193</v>
      </c>
      <c r="P26">
        <v>13.937157301808</v>
      </c>
      <c r="Q26">
        <v>4.91564673276208</v>
      </c>
      <c r="R26">
        <v>6.16674588079102</v>
      </c>
      <c r="S26">
        <v>6.5044779701513</v>
      </c>
      <c r="T26">
        <v>3.06501452078944</v>
      </c>
      <c r="U26">
        <v>1.2729905296394</v>
      </c>
      <c r="V26">
        <v>0.644393135991737</v>
      </c>
      <c r="W26">
        <v>0.698619882566216</v>
      </c>
      <c r="X26">
        <v>1.23897000479013</v>
      </c>
      <c r="Y26">
        <v>32.3788285914243</v>
      </c>
      <c r="Z26">
        <v>17.830136148879</v>
      </c>
      <c r="AA26">
        <f t="shared" si="0"/>
        <v>93.37860678572828</v>
      </c>
      <c r="AB26">
        <f t="shared" si="1"/>
        <v>125.54720976911193</v>
      </c>
      <c r="AC26">
        <f t="shared" si="2"/>
        <v>-0.2938767431782128</v>
      </c>
      <c r="AD26" s="3">
        <f t="shared" si="3"/>
        <v>109.46290827742011</v>
      </c>
      <c r="AE26" s="3">
        <f>AD26/SUM($AD$18:$AD$26)*100</f>
        <v>24.47741110359027</v>
      </c>
      <c r="AG26" s="2">
        <f>AD26/AD17*100</f>
        <v>57.05408150903316</v>
      </c>
      <c r="AH26" s="1" t="s">
        <v>159</v>
      </c>
      <c r="AL26" s="3">
        <f>(AD26*1000)/(Q_monthly_by_region!AA21/10000)</f>
        <v>1.111365827397686</v>
      </c>
      <c r="AM26" s="3">
        <f>(1000*SUM(AD18:AD26))/(2768.5*100)</f>
        <v>1.61531405798778</v>
      </c>
      <c r="AO26" s="249" t="s">
        <v>145</v>
      </c>
      <c r="AP26" s="250">
        <f>SUM(AD27:AD31)</f>
        <v>43.54970041586091</v>
      </c>
      <c r="AQ26" s="250">
        <f>SUM(C27:N31)</f>
        <v>47.64318188353805</v>
      </c>
      <c r="AR26" s="250">
        <f>SUM(O27:Z31)</f>
        <v>39.456218948183796</v>
      </c>
      <c r="AS26" s="246" t="str">
        <f>CONCATENATE(ROUND((AR26-AQ26),1)," MT  (",ROUND(100*(AR26-AQ26)/AP26,1),"%)")</f>
        <v>-8.2 MT  (-18.8%)</v>
      </c>
      <c r="AT26" s="218">
        <f>AP30/AP33</f>
        <v>0.7552892494167908</v>
      </c>
      <c r="AU26" s="218">
        <f>AQ30/$AQ$33</f>
        <v>0.8122213842853633</v>
      </c>
      <c r="AV26" s="218">
        <f>AR30/$AR$33</f>
        <v>0.7057175902625901</v>
      </c>
      <c r="AW26" t="s">
        <v>797</v>
      </c>
      <c r="AX26">
        <f>AP34/AP29</f>
        <v>23.140885716076163</v>
      </c>
    </row>
    <row r="27" spans="1:49" ht="15">
      <c r="A27" t="s">
        <v>154</v>
      </c>
      <c r="B27" t="s">
        <v>253</v>
      </c>
      <c r="C27">
        <v>1.21758641342971</v>
      </c>
      <c r="D27">
        <v>0.107515310210391</v>
      </c>
      <c r="E27">
        <v>0.334546037715022</v>
      </c>
      <c r="F27">
        <v>0.804069367779626</v>
      </c>
      <c r="G27">
        <v>0.865451906722321</v>
      </c>
      <c r="H27">
        <v>0.158561399253504</v>
      </c>
      <c r="I27">
        <v>0.2067438224276</v>
      </c>
      <c r="J27">
        <v>0.065419139603799</v>
      </c>
      <c r="K27">
        <v>0.371927358356302</v>
      </c>
      <c r="L27">
        <v>0.657285639627714</v>
      </c>
      <c r="M27">
        <v>1.10313580297993</v>
      </c>
      <c r="N27">
        <v>0.697437647944621</v>
      </c>
      <c r="O27">
        <v>2.29721980540086</v>
      </c>
      <c r="P27">
        <v>0.796997464300194</v>
      </c>
      <c r="Q27">
        <v>0.501074348128433</v>
      </c>
      <c r="R27">
        <v>0.624655323127022</v>
      </c>
      <c r="S27">
        <v>0.011432486133719</v>
      </c>
      <c r="T27">
        <v>0.759527264708348</v>
      </c>
      <c r="U27">
        <v>0</v>
      </c>
      <c r="V27">
        <v>0.013631445310264</v>
      </c>
      <c r="W27">
        <v>0.002761636018115</v>
      </c>
      <c r="X27">
        <v>0.017500419776121</v>
      </c>
      <c r="Y27">
        <v>0.411179414205598</v>
      </c>
      <c r="Z27">
        <v>0.278969946812562</v>
      </c>
      <c r="AA27">
        <f t="shared" si="0"/>
        <v>6.589679846050542</v>
      </c>
      <c r="AB27">
        <f t="shared" si="1"/>
        <v>5.714949553921236</v>
      </c>
      <c r="AC27">
        <f t="shared" si="2"/>
        <v>0.1421790553287712</v>
      </c>
      <c r="AD27" s="3">
        <f t="shared" si="3"/>
        <v>6.152314699985889</v>
      </c>
      <c r="AE27" s="3">
        <f>AD27/SUM($AD$27:$AD$31)*100</f>
        <v>14.127111418073499</v>
      </c>
      <c r="AG27" s="2">
        <f>AD27/AD13*100</f>
        <v>13.935959661808061</v>
      </c>
      <c r="AH27" s="1" t="s">
        <v>162</v>
      </c>
      <c r="AL27" s="3">
        <f>(AD27*1000)/(Q_monthly_by_region!AA22/10000)</f>
        <v>0.24267475672571068</v>
      </c>
      <c r="AM27" s="3"/>
      <c r="AO27" s="249" t="s">
        <v>146</v>
      </c>
      <c r="AP27" s="250">
        <f>SUM(AD32:AD36)</f>
        <v>5.605936162734629</v>
      </c>
      <c r="AQ27" s="250">
        <f>SUM(C32:N36)</f>
        <v>3.420777471987871</v>
      </c>
      <c r="AR27" s="250">
        <f>SUM(O32:Z36)</f>
        <v>7.791094853481391</v>
      </c>
      <c r="AS27" s="246" t="str">
        <f>CONCATENATE(ROUND((AR27-AQ27),1)," MT  (",ROUND(100*(AR27-AQ27)/AP27,1),"%)")</f>
        <v>4.4 MT  (78%)</v>
      </c>
      <c r="AT27" s="218">
        <f>AP25/AP33</f>
        <v>0.48323537350094287</v>
      </c>
      <c r="AU27" s="218">
        <f>AQ25/$AQ$33</f>
        <v>0.5025587519000306</v>
      </c>
      <c r="AV27" s="218">
        <f>AR25/$AR$33</f>
        <v>0.4664102196591187</v>
      </c>
      <c r="AW27" t="s">
        <v>797</v>
      </c>
    </row>
    <row r="28" spans="1:71" ht="15">
      <c r="A28" t="s">
        <v>154</v>
      </c>
      <c r="B28" t="s">
        <v>149</v>
      </c>
      <c r="C28">
        <v>2.98410112969981</v>
      </c>
      <c r="D28">
        <v>0.166248035816314</v>
      </c>
      <c r="E28">
        <v>0.492040845848141</v>
      </c>
      <c r="F28">
        <v>0.424092510642957</v>
      </c>
      <c r="G28">
        <v>0.298306584639554</v>
      </c>
      <c r="H28">
        <v>0.021917393778927</v>
      </c>
      <c r="I28">
        <v>0.079155635584013</v>
      </c>
      <c r="J28">
        <v>0.027837367602669</v>
      </c>
      <c r="K28">
        <v>0.051112550318449</v>
      </c>
      <c r="L28">
        <v>0.50406217756822</v>
      </c>
      <c r="M28">
        <v>2.43143339548642</v>
      </c>
      <c r="N28">
        <v>7.51568015282245</v>
      </c>
      <c r="O28">
        <v>3.00267278947449</v>
      </c>
      <c r="P28">
        <v>1.26772183630905</v>
      </c>
      <c r="Q28">
        <v>0.114612113574078</v>
      </c>
      <c r="R28">
        <v>0.339133802995246</v>
      </c>
      <c r="S28">
        <v>0.169444412371576</v>
      </c>
      <c r="T28">
        <v>0.101452370728904</v>
      </c>
      <c r="U28">
        <v>0.054862325604687</v>
      </c>
      <c r="V28">
        <v>0.126065937235835</v>
      </c>
      <c r="W28">
        <v>0.010878258508383</v>
      </c>
      <c r="X28">
        <v>0.030584346734429</v>
      </c>
      <c r="Y28">
        <v>1.52376204959319</v>
      </c>
      <c r="Z28">
        <v>3.81283149784453</v>
      </c>
      <c r="AA28">
        <f t="shared" si="0"/>
        <v>14.995987779807924</v>
      </c>
      <c r="AB28">
        <f t="shared" si="1"/>
        <v>10.554021740974399</v>
      </c>
      <c r="AC28">
        <f t="shared" si="2"/>
        <v>0.34770758384418127</v>
      </c>
      <c r="AD28" s="3">
        <f t="shared" si="3"/>
        <v>12.775004760391164</v>
      </c>
      <c r="AE28" s="3">
        <f>AD28/SUM($AD$27:$AD$31)*100</f>
        <v>29.334311461160993</v>
      </c>
      <c r="AG28" s="2">
        <f>AD28/AD14*100</f>
        <v>9.02947511576952</v>
      </c>
      <c r="AH28" s="1" t="s">
        <v>162</v>
      </c>
      <c r="AL28" s="3">
        <f>(AD28*1000)/(Q_monthly_by_region!AA23/10000)</f>
        <v>0.3816767548169692</v>
      </c>
      <c r="AM28" s="3"/>
      <c r="AO28" s="249" t="s">
        <v>644</v>
      </c>
      <c r="AP28" s="251">
        <f>AP25+AP26+AP27</f>
        <v>496.3553335325125</v>
      </c>
      <c r="AQ28" s="251">
        <f>SUM(C67:N71)</f>
        <v>484.0042404869874</v>
      </c>
      <c r="AR28" s="251">
        <f>SUM(O67:Z71)</f>
        <v>508.7064265780374</v>
      </c>
      <c r="AS28" s="246" t="str">
        <f>CONCATENATE(ROUND((AR28-AQ28),1)," MT  (",ROUND(100*(AR28-AQ28)/AP28,1),"%)")</f>
        <v>24.7 MT  (5%)</v>
      </c>
      <c r="AT28" s="218">
        <f>AP26/AP33</f>
        <v>0.04705896692161966</v>
      </c>
      <c r="AU28" s="218">
        <f>AQ26/$AQ$33</f>
        <v>0.055304389698649065</v>
      </c>
      <c r="AV28" s="218">
        <f>AR26/$AR$33</f>
        <v>0.039879554302915794</v>
      </c>
      <c r="AW28" t="s">
        <v>797</v>
      </c>
      <c r="AX28">
        <f>AP26/AP30</f>
        <v>0.06230588739076722</v>
      </c>
      <c r="BR28" t="s">
        <v>253</v>
      </c>
      <c r="BS28">
        <v>6.3160502364507485</v>
      </c>
    </row>
    <row r="29" spans="1:71" ht="15">
      <c r="A29" t="s">
        <v>154</v>
      </c>
      <c r="B29" t="s">
        <v>254</v>
      </c>
      <c r="C29">
        <v>1.28895463217524</v>
      </c>
      <c r="D29">
        <v>0.341022940684249</v>
      </c>
      <c r="E29">
        <v>0.650870339808632</v>
      </c>
      <c r="F29">
        <v>0.401472246954912</v>
      </c>
      <c r="G29">
        <v>0.128637521532851</v>
      </c>
      <c r="H29">
        <v>0.130762027406486</v>
      </c>
      <c r="I29">
        <v>0.078344267277745</v>
      </c>
      <c r="J29">
        <v>0.095670813835187</v>
      </c>
      <c r="K29">
        <v>0.146896388329927</v>
      </c>
      <c r="L29">
        <v>0.221057267926393</v>
      </c>
      <c r="M29">
        <v>0.761504376255136</v>
      </c>
      <c r="N29">
        <v>1.50733719828016</v>
      </c>
      <c r="O29">
        <v>0.827520919399614</v>
      </c>
      <c r="P29">
        <v>0.368486283702306</v>
      </c>
      <c r="Q29">
        <v>0.13855969135982</v>
      </c>
      <c r="R29">
        <v>0.220611186511102</v>
      </c>
      <c r="S29">
        <v>0.095224351250851</v>
      </c>
      <c r="T29">
        <v>0.091148556534136</v>
      </c>
      <c r="U29">
        <v>0.072384104260657</v>
      </c>
      <c r="V29">
        <v>0.078245979446495</v>
      </c>
      <c r="W29">
        <v>0.051272726710946</v>
      </c>
      <c r="X29">
        <v>0.142953839029465</v>
      </c>
      <c r="Y29">
        <v>1.48100209057736</v>
      </c>
      <c r="Z29">
        <v>1.70189451014876</v>
      </c>
      <c r="AA29">
        <f t="shared" si="0"/>
        <v>5.752530020466918</v>
      </c>
      <c r="AB29">
        <f t="shared" si="1"/>
        <v>5.269304238931512</v>
      </c>
      <c r="AC29">
        <f t="shared" si="2"/>
        <v>0.08768518382017125</v>
      </c>
      <c r="AD29" s="3">
        <f t="shared" si="3"/>
        <v>5.510917129699215</v>
      </c>
      <c r="AE29" s="3">
        <f>AD29/SUM($AD$27:$AD$31)*100</f>
        <v>12.654316969060309</v>
      </c>
      <c r="AG29" s="2">
        <f>AD29/AD15*100</f>
        <v>4.506720768990878</v>
      </c>
      <c r="AH29" s="1" t="s">
        <v>162</v>
      </c>
      <c r="AL29" s="3">
        <f>(AD29*1000)/(Q_monthly_by_region!AA24/10000)</f>
        <v>0.09538123956759624</v>
      </c>
      <c r="AM29" s="3"/>
      <c r="AO29" s="249" t="s">
        <v>164</v>
      </c>
      <c r="AP29" s="251">
        <f>SUM(AD8:AD12)</f>
        <v>202.29207745114914</v>
      </c>
      <c r="AQ29" s="251">
        <f>SUM(C8:N12)</f>
        <v>215.66976908992314</v>
      </c>
      <c r="AR29" s="251">
        <f>SUM(O8:Z12)</f>
        <v>188.91438581237506</v>
      </c>
      <c r="AS29" s="246" t="str">
        <f aca="true" t="shared" si="4" ref="AS29:AS87">CONCATENATE(ROUND((AR29-AQ29),1)," MT  (",ROUND(100*(AR29-AQ29)/AP29,1),"%)")</f>
        <v>-26.8 MT  (-13.2%)</v>
      </c>
      <c r="AT29" s="218">
        <f>AP27/AP33</f>
        <v>0.006057666572391857</v>
      </c>
      <c r="AU29" s="218">
        <f>AQ27/$AQ$33</f>
        <v>0.003970851712751469</v>
      </c>
      <c r="AV29" s="218">
        <f>AR27/$AR$33</f>
        <v>0.007874687402171386</v>
      </c>
      <c r="AW29" t="s">
        <v>797</v>
      </c>
      <c r="AX29">
        <f>AP27/AP30</f>
        <v>0.008020326751730393</v>
      </c>
      <c r="BR29" t="s">
        <v>149</v>
      </c>
      <c r="BS29">
        <v>20.24149004400935</v>
      </c>
    </row>
    <row r="30" spans="1:71" ht="15">
      <c r="A30" t="s">
        <v>154</v>
      </c>
      <c r="B30" t="s">
        <v>255</v>
      </c>
      <c r="C30">
        <v>1.63893989191434</v>
      </c>
      <c r="D30">
        <v>0.216238280651276</v>
      </c>
      <c r="E30">
        <v>0.56775650836423</v>
      </c>
      <c r="F30">
        <v>0.400358096060174</v>
      </c>
      <c r="G30">
        <v>0.086843441384666</v>
      </c>
      <c r="H30">
        <v>0.136051131467108</v>
      </c>
      <c r="I30">
        <v>0.03290313550403</v>
      </c>
      <c r="J30">
        <v>0.10463644451734</v>
      </c>
      <c r="K30">
        <v>0.186001617144884</v>
      </c>
      <c r="L30">
        <v>0.351288970555947</v>
      </c>
      <c r="M30">
        <v>0.575708023220872</v>
      </c>
      <c r="N30">
        <v>1.79233027668588</v>
      </c>
      <c r="O30">
        <v>0.826228623004922</v>
      </c>
      <c r="P30">
        <v>0.245217073359931</v>
      </c>
      <c r="Q30">
        <v>0.097139810772222</v>
      </c>
      <c r="R30">
        <v>0.176688016484427</v>
      </c>
      <c r="S30">
        <v>0.079011148375624</v>
      </c>
      <c r="T30">
        <v>0.089731589134246</v>
      </c>
      <c r="U30">
        <v>0.05692844837545</v>
      </c>
      <c r="V30">
        <v>0.05122205152827</v>
      </c>
      <c r="W30">
        <v>0.053988284410911</v>
      </c>
      <c r="X30">
        <v>0.198247796114825</v>
      </c>
      <c r="Y30">
        <v>1.75154995206137</v>
      </c>
      <c r="Z30">
        <v>1.56573441975886</v>
      </c>
      <c r="AA30">
        <f t="shared" si="0"/>
        <v>6.089055817470747</v>
      </c>
      <c r="AB30">
        <f t="shared" si="1"/>
        <v>5.1916872133810585</v>
      </c>
      <c r="AC30">
        <f t="shared" si="2"/>
        <v>0.15909742853559686</v>
      </c>
      <c r="AD30" s="3">
        <f t="shared" si="3"/>
        <v>5.640371515425902</v>
      </c>
      <c r="AE30" s="3">
        <f>AD30/SUM($AD$27:$AD$31)*100</f>
        <v>12.951573630967308</v>
      </c>
      <c r="AG30" s="2">
        <f>AD30/AD16*100</f>
        <v>2.8315471533001406</v>
      </c>
      <c r="AH30" s="1" t="s">
        <v>162</v>
      </c>
      <c r="AL30" s="3">
        <f>(AD30*1000)/(Q_monthly_by_region!AA25/10000)</f>
        <v>0.09133416624224455</v>
      </c>
      <c r="AM30" s="3"/>
      <c r="AO30" s="249" t="s">
        <v>143</v>
      </c>
      <c r="AP30" s="250">
        <f>SUM(AD13:AD17)</f>
        <v>698.9660566541311</v>
      </c>
      <c r="AQ30" s="250">
        <f>SUM(C13:N17)</f>
        <v>699.7059609926746</v>
      </c>
      <c r="AR30" s="250">
        <f>SUM(O13:Z17)</f>
        <v>698.2261523155872</v>
      </c>
      <c r="AS30" s="246" t="str">
        <f t="shared" si="4"/>
        <v>-1.5 MT  (-0.2%)</v>
      </c>
      <c r="AT30" s="219"/>
      <c r="BR30" t="s">
        <v>254</v>
      </c>
      <c r="BS30">
        <v>17.49472595476311</v>
      </c>
    </row>
    <row r="31" spans="1:71" ht="15">
      <c r="A31" t="s">
        <v>154</v>
      </c>
      <c r="B31" t="s">
        <v>256</v>
      </c>
      <c r="C31">
        <v>1.16472831554666</v>
      </c>
      <c r="D31">
        <v>0.346413743891754</v>
      </c>
      <c r="E31">
        <v>0.481857862173122</v>
      </c>
      <c r="F31">
        <v>2.04623196619051</v>
      </c>
      <c r="G31">
        <v>0.790908420816124</v>
      </c>
      <c r="H31">
        <v>0.64755452851152</v>
      </c>
      <c r="I31">
        <v>1.45603400557271</v>
      </c>
      <c r="J31">
        <v>0.235163894943702</v>
      </c>
      <c r="K31">
        <v>0.586875062151908</v>
      </c>
      <c r="L31">
        <v>0.686983799588522</v>
      </c>
      <c r="M31">
        <v>1.357651578306</v>
      </c>
      <c r="N31">
        <v>4.41552524204938</v>
      </c>
      <c r="O31">
        <v>1.69950183477854</v>
      </c>
      <c r="P31">
        <v>0.669914617897751</v>
      </c>
      <c r="Q31">
        <v>0.920802689075796</v>
      </c>
      <c r="R31">
        <v>1.41457877238389</v>
      </c>
      <c r="S31">
        <v>1.67479719242503</v>
      </c>
      <c r="T31">
        <v>1.65123339031122</v>
      </c>
      <c r="U31">
        <v>0.337779518079092</v>
      </c>
      <c r="V31">
        <v>0.431598960479469</v>
      </c>
      <c r="W31">
        <v>0.58383846602664</v>
      </c>
      <c r="X31">
        <v>0.607896746889693</v>
      </c>
      <c r="Y31">
        <v>0.842305332400994</v>
      </c>
      <c r="Z31">
        <v>1.89200868022746</v>
      </c>
      <c r="AA31">
        <f t="shared" si="0"/>
        <v>14.215928419741912</v>
      </c>
      <c r="AB31">
        <f t="shared" si="1"/>
        <v>12.726256200975575</v>
      </c>
      <c r="AC31">
        <f t="shared" si="2"/>
        <v>0.1105828825492375</v>
      </c>
      <c r="AD31" s="3">
        <f t="shared" si="3"/>
        <v>13.471092310358742</v>
      </c>
      <c r="AE31" s="3">
        <f>AD31/SUM($AD$27:$AD$31)*100</f>
        <v>30.93268652073789</v>
      </c>
      <c r="AG31" s="2">
        <f>AD31/AD17*100</f>
        <v>7.021381130702696</v>
      </c>
      <c r="AH31" s="1" t="s">
        <v>162</v>
      </c>
      <c r="AL31" s="3">
        <f>(AD31*1000)/(Q_monthly_by_region!AA26/10000)</f>
        <v>0.1367706366206672</v>
      </c>
      <c r="AM31" s="3">
        <f>(1000*SUM(AD27:AD31))/(2768.5*100)</f>
        <v>0.15730431791894858</v>
      </c>
      <c r="AO31" s="249" t="s">
        <v>613</v>
      </c>
      <c r="AP31" s="251">
        <f>SUM(AD47:AD51)</f>
        <v>226.46225732471805</v>
      </c>
      <c r="AQ31" s="251">
        <f>SUM(C47:N51)</f>
        <v>161.76601515864823</v>
      </c>
      <c r="AR31" s="251">
        <f>SUM(O47:Z51)</f>
        <v>291.158499490788</v>
      </c>
      <c r="AS31" s="246" t="str">
        <f aca="true" t="shared" si="5" ref="AS31:AS36">CONCATENATE(ROUND((AR31-AQ31),0)," MT  (",ROUND(100*(AR31-AQ31)/AP31,1),"%)")</f>
        <v>129 MT  (57.1%)</v>
      </c>
      <c r="AT31" s="219"/>
      <c r="BR31" t="s">
        <v>255</v>
      </c>
      <c r="BS31">
        <v>28.49888221864064</v>
      </c>
    </row>
    <row r="32" spans="1:71" ht="17.25">
      <c r="A32" t="s">
        <v>155</v>
      </c>
      <c r="B32" t="s">
        <v>253</v>
      </c>
      <c r="C32">
        <v>0.034341908251198</v>
      </c>
      <c r="D32">
        <v>0.005418410834159</v>
      </c>
      <c r="E32">
        <v>0.005138667572033</v>
      </c>
      <c r="F32">
        <v>0.018737827135044</v>
      </c>
      <c r="G32">
        <v>0.01374078680564</v>
      </c>
      <c r="H32">
        <v>0.004870801037147</v>
      </c>
      <c r="I32">
        <v>0.002729983121626</v>
      </c>
      <c r="J32">
        <v>0.002640859292861</v>
      </c>
      <c r="K32">
        <v>0.014187780798825</v>
      </c>
      <c r="L32">
        <v>0.009226980655477</v>
      </c>
      <c r="M32">
        <v>0.037172236475495</v>
      </c>
      <c r="N32">
        <v>0.071392540181392</v>
      </c>
      <c r="O32">
        <v>0.044049912919688</v>
      </c>
      <c r="P32">
        <v>0.044769492527353</v>
      </c>
      <c r="Q32">
        <v>0.018341788434563</v>
      </c>
      <c r="R32">
        <v>0.006144845531422</v>
      </c>
      <c r="S32">
        <v>0.001565467497679</v>
      </c>
      <c r="T32">
        <v>0.019937345846039</v>
      </c>
      <c r="U32">
        <v>0.003511220108656</v>
      </c>
      <c r="V32">
        <v>0.002956495778283</v>
      </c>
      <c r="W32">
        <v>0.000791113460554</v>
      </c>
      <c r="X32">
        <v>0</v>
      </c>
      <c r="Y32">
        <v>0.028409125935194</v>
      </c>
      <c r="Z32">
        <v>0.078456412032482</v>
      </c>
      <c r="AA32">
        <f t="shared" si="0"/>
        <v>0.219598782160897</v>
      </c>
      <c r="AB32">
        <f t="shared" si="1"/>
        <v>0.248933220071913</v>
      </c>
      <c r="AC32">
        <f t="shared" si="2"/>
        <v>-0.1252185027755688</v>
      </c>
      <c r="AD32" s="3">
        <f t="shared" si="3"/>
        <v>0.23426600111640505</v>
      </c>
      <c r="AE32" s="3">
        <f>AD32/SUM($AD$32:$AD$36)*100</f>
        <v>4.178891701865686</v>
      </c>
      <c r="AG32" s="2">
        <f>AD32/AD13*100</f>
        <v>0.5306493085762974</v>
      </c>
      <c r="AH32" s="1" t="s">
        <v>161</v>
      </c>
      <c r="AL32" s="3">
        <f>(AD32*1000)/(Q_monthly_by_region!AA27/10000)</f>
        <v>0.009240496886506643</v>
      </c>
      <c r="AM32" s="3"/>
      <c r="AO32" s="249" t="s">
        <v>792</v>
      </c>
      <c r="AP32" s="251">
        <f>AP29+AP31</f>
        <v>428.75433477586716</v>
      </c>
      <c r="AQ32" s="251">
        <f>AQ31+AQ29</f>
        <v>377.4357842485714</v>
      </c>
      <c r="AR32" s="251">
        <f>AR31+AR29</f>
        <v>480.07288530316305</v>
      </c>
      <c r="AS32" s="246" t="str">
        <f t="shared" si="5"/>
        <v>103 MT  (23.9%)</v>
      </c>
      <c r="AT32" s="218">
        <f>AP28/AP33</f>
        <v>0.5363520069949543</v>
      </c>
      <c r="AU32" s="218">
        <f>AQ28/$AQ$33</f>
        <v>0.561833993311431</v>
      </c>
      <c r="AV32" s="218">
        <f>AR28/$AR$33</f>
        <v>0.5141644613642057</v>
      </c>
      <c r="AW32" t="s">
        <v>797</v>
      </c>
      <c r="AY32" s="138"/>
      <c r="BR32" t="s">
        <v>256</v>
      </c>
      <c r="BS32">
        <v>27.44885154613615</v>
      </c>
    </row>
    <row r="33" spans="1:49" ht="17.25">
      <c r="A33" t="s">
        <v>155</v>
      </c>
      <c r="B33" t="s">
        <v>149</v>
      </c>
      <c r="C33">
        <v>0.08405808946777</v>
      </c>
      <c r="D33">
        <v>0.026057506711859</v>
      </c>
      <c r="E33">
        <v>0.128778727028186</v>
      </c>
      <c r="F33">
        <v>0.159158562967453</v>
      </c>
      <c r="G33">
        <v>0.14389996032427</v>
      </c>
      <c r="H33">
        <v>0.102199374292126</v>
      </c>
      <c r="I33">
        <v>0.062158447928274</v>
      </c>
      <c r="J33">
        <v>0.045044435289886</v>
      </c>
      <c r="K33">
        <v>0.103390634920102</v>
      </c>
      <c r="L33">
        <v>0.185248316815039</v>
      </c>
      <c r="M33">
        <v>0.183649362185581</v>
      </c>
      <c r="N33">
        <v>0.633941923036861</v>
      </c>
      <c r="O33">
        <v>0.229152091836056</v>
      </c>
      <c r="P33">
        <v>0.024081257037804</v>
      </c>
      <c r="Q33">
        <v>0.065721301040265</v>
      </c>
      <c r="R33">
        <v>0.018277027353025</v>
      </c>
      <c r="S33">
        <v>0.161663755525212</v>
      </c>
      <c r="T33">
        <v>0.044670897798704</v>
      </c>
      <c r="U33">
        <v>0.005118027462282</v>
      </c>
      <c r="V33">
        <v>0.004772142491218</v>
      </c>
      <c r="W33">
        <v>0.134060565094162</v>
      </c>
      <c r="X33">
        <v>0.004867720262714</v>
      </c>
      <c r="Y33">
        <v>5.21908387513553</v>
      </c>
      <c r="Z33">
        <v>0.12772103665704</v>
      </c>
      <c r="AA33">
        <f t="shared" si="0"/>
        <v>1.857585340967407</v>
      </c>
      <c r="AB33">
        <f t="shared" si="1"/>
        <v>6.039189697694012</v>
      </c>
      <c r="AC33">
        <f t="shared" si="2"/>
        <v>-1.059066349555129</v>
      </c>
      <c r="AD33" s="3">
        <f t="shared" si="3"/>
        <v>3.94838751933071</v>
      </c>
      <c r="AE33" s="3">
        <f>AD33/SUM($AD$32:$AD$36)*100</f>
        <v>70.43225974597344</v>
      </c>
      <c r="AG33" s="2">
        <f>AD33/AD14*100</f>
        <v>2.7907517470169574</v>
      </c>
      <c r="AH33" s="1" t="s">
        <v>161</v>
      </c>
      <c r="AL33" s="3">
        <f>(AD33*1000)/(Q_monthly_by_region!AA28/10000)</f>
        <v>0.11796533648350865</v>
      </c>
      <c r="AM33" s="3"/>
      <c r="AO33" s="249" t="s">
        <v>790</v>
      </c>
      <c r="AP33" s="251">
        <f>SUM(AD57:AD61)</f>
        <v>925.428313978849</v>
      </c>
      <c r="AQ33" s="251">
        <f>SUM(C57:N61)</f>
        <v>861.4719761513225</v>
      </c>
      <c r="AR33" s="251">
        <f>SUM(O57:Z61)</f>
        <v>989.3846518063757</v>
      </c>
      <c r="AS33" s="246" t="str">
        <f t="shared" si="5"/>
        <v>128 MT  (13.8%)</v>
      </c>
      <c r="AT33" s="220">
        <f>AP31/AP33</f>
        <v>0.24471075058320932</v>
      </c>
      <c r="AU33" s="218">
        <f>AQ31/$AQ$33</f>
        <v>0.18777861571463714</v>
      </c>
      <c r="AV33" s="218">
        <f>AR31/$AR$33</f>
        <v>0.29428240973740943</v>
      </c>
      <c r="AW33" t="s">
        <v>797</v>
      </c>
    </row>
    <row r="34" spans="1:49" ht="15">
      <c r="A34" t="s">
        <v>155</v>
      </c>
      <c r="B34" t="s">
        <v>254</v>
      </c>
      <c r="C34">
        <v>0.064350964855539</v>
      </c>
      <c r="D34">
        <v>0.020545604496667</v>
      </c>
      <c r="E34">
        <v>0.042065741048217</v>
      </c>
      <c r="F34">
        <v>0.033656881729331</v>
      </c>
      <c r="G34">
        <v>0.023379752020895</v>
      </c>
      <c r="H34">
        <v>0.014405761630387</v>
      </c>
      <c r="I34">
        <v>0.013244518052861</v>
      </c>
      <c r="J34">
        <v>0.006458078288926</v>
      </c>
      <c r="K34">
        <v>0.00563562166178</v>
      </c>
      <c r="L34">
        <v>0.006427879876616</v>
      </c>
      <c r="M34">
        <v>0.033105424607613</v>
      </c>
      <c r="N34">
        <v>0.106860732135941</v>
      </c>
      <c r="O34">
        <v>0.051209043667385</v>
      </c>
      <c r="P34">
        <v>0.024413616646323</v>
      </c>
      <c r="Q34">
        <v>0.020746337058007</v>
      </c>
      <c r="R34">
        <v>0.014044843223684</v>
      </c>
      <c r="S34">
        <v>0.009105573719114</v>
      </c>
      <c r="T34">
        <v>0.015503806050644</v>
      </c>
      <c r="U34">
        <v>0.005290300860763</v>
      </c>
      <c r="V34">
        <v>0.003745501483587</v>
      </c>
      <c r="W34">
        <v>0.002683736163727</v>
      </c>
      <c r="X34">
        <v>0.004800579717421</v>
      </c>
      <c r="Y34">
        <v>0.118776562311116</v>
      </c>
      <c r="Z34">
        <v>0.101130432229192</v>
      </c>
      <c r="AA34">
        <f t="shared" si="0"/>
        <v>0.370136960404773</v>
      </c>
      <c r="AB34">
        <f t="shared" si="1"/>
        <v>0.371450333130963</v>
      </c>
      <c r="AC34">
        <f t="shared" si="2"/>
        <v>-0.003542058332547972</v>
      </c>
      <c r="AD34" s="3">
        <f t="shared" si="3"/>
        <v>0.370793646767868</v>
      </c>
      <c r="AE34" s="3">
        <f>AD34/SUM($AD$32:$AD$36)*100</f>
        <v>6.614303766652087</v>
      </c>
      <c r="AG34" s="2">
        <f>AD34/AD15*100</f>
        <v>0.3032278275231158</v>
      </c>
      <c r="AH34" s="1" t="s">
        <v>161</v>
      </c>
      <c r="AL34" s="3">
        <f>(AD34*1000)/(Q_monthly_by_region!AA29/10000)</f>
        <v>0.006417581106765615</v>
      </c>
      <c r="AM34" s="3"/>
      <c r="AO34" s="249" t="s">
        <v>142</v>
      </c>
      <c r="AP34" s="251">
        <f>SUM(AD3:AD7)</f>
        <v>4681.21784556467</v>
      </c>
      <c r="AQ34" s="250">
        <f>SUM(C3:N7)</f>
        <v>4202.17235863591</v>
      </c>
      <c r="AR34" s="250">
        <f>SUM(O3:Z7)</f>
        <v>5160.263332493427</v>
      </c>
      <c r="AS34" s="246" t="str">
        <f t="shared" si="5"/>
        <v>958 MT  (20.5%)</v>
      </c>
      <c r="AT34" s="218">
        <f>AP35/AP36</f>
        <v>0.32933598152847204</v>
      </c>
      <c r="AU34" s="218">
        <f>AQ35/AQ36</f>
        <v>0.2852922830327486</v>
      </c>
      <c r="AV34" s="218">
        <f>AR35/AR36</f>
        <v>0.36138371328944635</v>
      </c>
      <c r="AW34" t="s">
        <v>798</v>
      </c>
    </row>
    <row r="35" spans="1:46" ht="15">
      <c r="A35" t="s">
        <v>155</v>
      </c>
      <c r="B35" t="s">
        <v>255</v>
      </c>
      <c r="C35">
        <v>0.10812770053032</v>
      </c>
      <c r="D35">
        <v>0.018674521448269</v>
      </c>
      <c r="E35">
        <v>0.052232477918031</v>
      </c>
      <c r="F35">
        <v>0.049227520010382</v>
      </c>
      <c r="G35">
        <v>0.031005860490096</v>
      </c>
      <c r="H35">
        <v>0.017441921527746</v>
      </c>
      <c r="I35">
        <v>0.017941079789788</v>
      </c>
      <c r="J35">
        <v>0.00651261720743</v>
      </c>
      <c r="K35">
        <v>0.006905064964403</v>
      </c>
      <c r="L35">
        <v>0.008505690202678</v>
      </c>
      <c r="M35">
        <v>0.035583612264953</v>
      </c>
      <c r="N35">
        <v>0.141174755156743</v>
      </c>
      <c r="O35">
        <v>0.052008553339515</v>
      </c>
      <c r="P35">
        <v>0.008135741105849</v>
      </c>
      <c r="Q35">
        <v>0.021513418060931</v>
      </c>
      <c r="R35">
        <v>0.015886728255291</v>
      </c>
      <c r="S35">
        <v>0.009645452800114</v>
      </c>
      <c r="T35">
        <v>0.012999840288837</v>
      </c>
      <c r="U35">
        <v>0.004017602492699</v>
      </c>
      <c r="V35">
        <v>0.003309453806465</v>
      </c>
      <c r="W35">
        <v>0.003214471037231</v>
      </c>
      <c r="X35">
        <v>0.004176834197112</v>
      </c>
      <c r="Y35">
        <v>0.13851739778811</v>
      </c>
      <c r="Z35">
        <v>0.079820978268887</v>
      </c>
      <c r="AA35">
        <f t="shared" si="0"/>
        <v>0.493332821510839</v>
      </c>
      <c r="AB35">
        <f t="shared" si="1"/>
        <v>0.35324647144104104</v>
      </c>
      <c r="AC35">
        <f t="shared" si="2"/>
        <v>0.3309467907757118</v>
      </c>
      <c r="AD35" s="3">
        <f t="shared" si="3"/>
        <v>0.4232896464759401</v>
      </c>
      <c r="AE35" s="3">
        <f>AD35/SUM($AD$32:$AD$36)*100</f>
        <v>7.550739683583113</v>
      </c>
      <c r="AG35" s="2">
        <f>AD35/AD16*100</f>
        <v>0.2124974552159208</v>
      </c>
      <c r="AH35" s="1" t="s">
        <v>161</v>
      </c>
      <c r="AL35" s="3">
        <f>(AD35*1000)/(Q_monthly_by_region!AA30/10000)</f>
        <v>0.006854301500197399</v>
      </c>
      <c r="AM35" s="3"/>
      <c r="AO35" s="249" t="s">
        <v>789</v>
      </c>
      <c r="AP35" s="251">
        <f>SUM(AD52:AD56)</f>
        <v>2298.756801402922</v>
      </c>
      <c r="AQ35" s="251">
        <f>SUM(C52:N56)</f>
        <v>1677.3952728249062</v>
      </c>
      <c r="AR35" s="251">
        <f>SUM(O52:Z56)</f>
        <v>2920.1183299809372</v>
      </c>
      <c r="AS35" s="246" t="str">
        <f t="shared" si="5"/>
        <v>1243 MT  (54.1%)</v>
      </c>
      <c r="AT35" s="219"/>
    </row>
    <row r="36" spans="1:46" ht="15">
      <c r="A36" t="s">
        <v>155</v>
      </c>
      <c r="B36" t="s">
        <v>256</v>
      </c>
      <c r="C36">
        <v>0.057306430076992</v>
      </c>
      <c r="D36">
        <v>0.019047992893909</v>
      </c>
      <c r="E36">
        <v>0.033393003196414</v>
      </c>
      <c r="F36">
        <v>0.039634947563161</v>
      </c>
      <c r="G36">
        <v>0.053632414504526</v>
      </c>
      <c r="H36">
        <v>0.036518110630317</v>
      </c>
      <c r="I36">
        <v>0.014298102355126</v>
      </c>
      <c r="J36">
        <v>0.007354473253392</v>
      </c>
      <c r="K36">
        <v>0.03183721168152</v>
      </c>
      <c r="L36">
        <v>0.031324188471284</v>
      </c>
      <c r="M36">
        <v>0.03657001822564</v>
      </c>
      <c r="N36">
        <v>0.119206674091674</v>
      </c>
      <c r="O36">
        <v>0.093710373672352</v>
      </c>
      <c r="P36">
        <v>0.090049440617809</v>
      </c>
      <c r="Q36">
        <v>0.091570829525608</v>
      </c>
      <c r="R36">
        <v>0.059678231856533</v>
      </c>
      <c r="S36">
        <v>0.061386795848401</v>
      </c>
      <c r="T36">
        <v>0.031173095357864</v>
      </c>
      <c r="U36">
        <v>0.022546876948689</v>
      </c>
      <c r="V36">
        <v>0.013702645130806</v>
      </c>
      <c r="W36">
        <v>0.010759475070303</v>
      </c>
      <c r="X36">
        <v>0.01197611336361</v>
      </c>
      <c r="Y36">
        <v>0.229890238260705</v>
      </c>
      <c r="Z36">
        <v>0.061831015490779</v>
      </c>
      <c r="AA36">
        <f t="shared" si="0"/>
        <v>0.48012356694395497</v>
      </c>
      <c r="AB36">
        <f t="shared" si="1"/>
        <v>0.7782751311434589</v>
      </c>
      <c r="AC36">
        <f t="shared" si="2"/>
        <v>-0.47385866602159027</v>
      </c>
      <c r="AD36" s="3">
        <f t="shared" si="3"/>
        <v>0.629199349043707</v>
      </c>
      <c r="AE36" s="3">
        <f>AD36/SUM($AD$32:$AD$36)*100</f>
        <v>11.223805101925697</v>
      </c>
      <c r="AG36" s="2">
        <f>AD36/AD17*100</f>
        <v>0.3279502756750283</v>
      </c>
      <c r="AH36" s="1" t="s">
        <v>161</v>
      </c>
      <c r="AL36" s="3">
        <f>(AD36*1000)/(Q_monthly_by_region!AA31/10000)</f>
        <v>0.006388197300366171</v>
      </c>
      <c r="AM36" s="3">
        <f>(1000*SUM(AD32:AD36))/(2768.5*100)</f>
        <v>0.020249001852030445</v>
      </c>
      <c r="AO36" s="249" t="s">
        <v>791</v>
      </c>
      <c r="AP36" s="251">
        <f>SUM(AD62:AD66)</f>
        <v>6979.974646967592</v>
      </c>
      <c r="AQ36" s="251">
        <f>SUM(C62:N66)</f>
        <v>5879.567631460815</v>
      </c>
      <c r="AR36" s="251">
        <f>SUM(O62:Z66)</f>
        <v>8080.381662474369</v>
      </c>
      <c r="AS36" s="246" t="str">
        <f t="shared" si="5"/>
        <v>2201 MT  (31.5%)</v>
      </c>
      <c r="AT36" s="219"/>
    </row>
    <row r="37" spans="1:49" ht="15">
      <c r="A37" t="s">
        <v>156</v>
      </c>
      <c r="B37" t="s">
        <v>253</v>
      </c>
      <c r="C37">
        <v>0.068244429361799</v>
      </c>
      <c r="D37">
        <v>0.014436685131016</v>
      </c>
      <c r="E37">
        <v>0.011752834059695</v>
      </c>
      <c r="F37">
        <v>0.035811754384774</v>
      </c>
      <c r="G37">
        <v>0.037043690243326</v>
      </c>
      <c r="H37">
        <v>0.0176212347285</v>
      </c>
      <c r="I37">
        <v>0.008394101775864</v>
      </c>
      <c r="J37">
        <v>0.012674287222307</v>
      </c>
      <c r="K37">
        <v>0.068398517159278</v>
      </c>
      <c r="L37">
        <v>0.060663399130852</v>
      </c>
      <c r="M37">
        <v>0.073981912077986</v>
      </c>
      <c r="N37">
        <v>0.067505987863818</v>
      </c>
      <c r="O37">
        <v>0.06244291395137</v>
      </c>
      <c r="P37">
        <v>0.0488677407599</v>
      </c>
      <c r="Q37">
        <v>0.05050462272965</v>
      </c>
      <c r="R37">
        <v>0.001217143334573</v>
      </c>
      <c r="S37">
        <v>0.003591727537214</v>
      </c>
      <c r="T37">
        <v>0</v>
      </c>
      <c r="U37">
        <v>0.022340415535021</v>
      </c>
      <c r="V37">
        <v>0.01757299075111</v>
      </c>
      <c r="W37">
        <v>0.004795428039461</v>
      </c>
      <c r="X37">
        <v>0.007233930430382</v>
      </c>
      <c r="Y37">
        <v>0.08492110044978</v>
      </c>
      <c r="Z37">
        <v>0.087181619091177</v>
      </c>
      <c r="AA37">
        <f t="shared" si="0"/>
        <v>0.47652883313921496</v>
      </c>
      <c r="AB37">
        <f t="shared" si="1"/>
        <v>0.39066963260963805</v>
      </c>
      <c r="AC37">
        <f t="shared" si="2"/>
        <v>0.19801511169749322</v>
      </c>
      <c r="AD37" s="3">
        <f t="shared" si="3"/>
        <v>0.43359923287442637</v>
      </c>
      <c r="AE37" s="3">
        <f>AD37/SUM($AD$37:$AD$41)*100</f>
        <v>1.306841487737297</v>
      </c>
      <c r="AL37" s="3">
        <f>(AD37*1000)/(Q_monthly_by_region!AA32/10000)</f>
        <v>0.017103089403813745</v>
      </c>
      <c r="AM37" s="3"/>
      <c r="AO37" s="249" t="s">
        <v>165</v>
      </c>
      <c r="AP37" s="250">
        <f>SUM(AD37:AD41)</f>
        <v>33.17917566461504</v>
      </c>
      <c r="AQ37" s="250">
        <f>SUM(C37:N41)</f>
        <v>29.16207705160502</v>
      </c>
      <c r="AR37" s="250">
        <f>SUM(O37:Z41)</f>
        <v>37.19627427762506</v>
      </c>
      <c r="AS37" s="246" t="str">
        <f>CONCATENATE(ROUND((AR37-AQ37),2)," MT  (",ROUND(100*(AR37-AQ37)/AP37,1),"%)")</f>
        <v>8.03 MT  (24.2%)</v>
      </c>
      <c r="AT37" s="218">
        <f>AP32/AP33</f>
        <v>0.46330367063489963</v>
      </c>
      <c r="AW37" t="s">
        <v>797</v>
      </c>
    </row>
    <row r="38" spans="1:45" ht="15.75" thickBot="1">
      <c r="A38" t="s">
        <v>156</v>
      </c>
      <c r="B38" t="s">
        <v>149</v>
      </c>
      <c r="C38">
        <v>2.95006136105258</v>
      </c>
      <c r="D38">
        <v>0.76897356034868</v>
      </c>
      <c r="E38">
        <v>1.28256598149055</v>
      </c>
      <c r="F38">
        <v>1.92449614240491</v>
      </c>
      <c r="G38">
        <v>1.15422992918905</v>
      </c>
      <c r="H38">
        <v>0.523927196544834</v>
      </c>
      <c r="I38">
        <v>0.123313321047811</v>
      </c>
      <c r="J38">
        <v>0.253426657849166</v>
      </c>
      <c r="K38">
        <v>0.185847288293679</v>
      </c>
      <c r="L38">
        <v>0.599591456995708</v>
      </c>
      <c r="M38">
        <v>1.49802491985672</v>
      </c>
      <c r="N38">
        <v>5.14000700613653</v>
      </c>
      <c r="O38">
        <v>7.66161192244666</v>
      </c>
      <c r="P38">
        <v>3.29285454833048</v>
      </c>
      <c r="Q38">
        <v>1.56795499782297</v>
      </c>
      <c r="R38">
        <v>1.28319930276847</v>
      </c>
      <c r="S38">
        <v>0.833802546367892</v>
      </c>
      <c r="T38">
        <v>0.868306273034214</v>
      </c>
      <c r="U38">
        <v>0.411537788402523</v>
      </c>
      <c r="V38">
        <v>0.353709534403792</v>
      </c>
      <c r="W38">
        <v>0.127683951285668</v>
      </c>
      <c r="X38">
        <v>0.105959021648931</v>
      </c>
      <c r="Y38">
        <v>7.08365460484172</v>
      </c>
      <c r="Z38">
        <v>1.49560320514845</v>
      </c>
      <c r="AA38">
        <f t="shared" si="0"/>
        <v>16.40446482121022</v>
      </c>
      <c r="AB38">
        <f t="shared" si="1"/>
        <v>25.08587769650177</v>
      </c>
      <c r="AC38">
        <f t="shared" si="2"/>
        <v>-0.41847872774660777</v>
      </c>
      <c r="AD38" s="3">
        <f t="shared" si="3"/>
        <v>20.745171258855994</v>
      </c>
      <c r="AE38" s="3">
        <f>AD38/SUM($AD$37:$AD$41)*100</f>
        <v>62.52467351375558</v>
      </c>
      <c r="AL38" s="3">
        <f>(AD38*1000)/(Q_monthly_by_region!AA33/10000)</f>
        <v>0.6198001325801441</v>
      </c>
      <c r="AM38" s="3"/>
      <c r="AO38" s="252" t="s">
        <v>148</v>
      </c>
      <c r="AP38" s="253">
        <f>SUM(AD42:AD46)</f>
        <v>22051.50428603276</v>
      </c>
      <c r="AQ38" s="253">
        <f>SUM(C42:N46)</f>
        <v>19651.864580785663</v>
      </c>
      <c r="AR38" s="253">
        <f>SUM(O42:Z46)</f>
        <v>24451.143991279863</v>
      </c>
      <c r="AS38" s="247" t="str">
        <f>CONCATENATE(ROUND((AR38-AQ38),0)," MT  (",ROUND(100*(AR38-AQ38)/AP38,1),"%)")</f>
        <v>4799 MT  (21.8%)</v>
      </c>
    </row>
    <row r="39" spans="1:49" ht="15.75" hidden="1" thickTop="1">
      <c r="A39" t="s">
        <v>156</v>
      </c>
      <c r="B39" t="s">
        <v>254</v>
      </c>
      <c r="C39">
        <v>0.751962209323846</v>
      </c>
      <c r="D39">
        <v>0.324914960066024</v>
      </c>
      <c r="E39">
        <v>0.592311864614345</v>
      </c>
      <c r="F39">
        <v>0.5065726779799</v>
      </c>
      <c r="G39">
        <v>0.266447425133865</v>
      </c>
      <c r="H39">
        <v>0.281390993190203</v>
      </c>
      <c r="I39">
        <v>0.208278971079254</v>
      </c>
      <c r="J39">
        <v>0.136952774591548</v>
      </c>
      <c r="K39">
        <v>0.164532924144517</v>
      </c>
      <c r="L39">
        <v>0.185231562612218</v>
      </c>
      <c r="M39">
        <v>0.309652825283174</v>
      </c>
      <c r="N39">
        <v>0.649689445126955</v>
      </c>
      <c r="O39">
        <v>0.769001691486124</v>
      </c>
      <c r="P39">
        <v>0.451192520837462</v>
      </c>
      <c r="Q39">
        <v>0.194460800244843</v>
      </c>
      <c r="R39">
        <v>0.19842158253159</v>
      </c>
      <c r="S39">
        <v>0.203455310419204</v>
      </c>
      <c r="T39">
        <v>0.118438474354966</v>
      </c>
      <c r="U39">
        <v>0.137408007764474</v>
      </c>
      <c r="V39">
        <v>0.099371557367099</v>
      </c>
      <c r="W39">
        <v>0.090886932547814</v>
      </c>
      <c r="X39">
        <v>0.115022028148624</v>
      </c>
      <c r="Y39">
        <v>0.609688596013186</v>
      </c>
      <c r="Z39">
        <v>0.732369330451709</v>
      </c>
      <c r="AA39">
        <f aca="true" t="shared" si="6" ref="AA39:AA71">SUM(C39:N39)</f>
        <v>4.377938633145849</v>
      </c>
      <c r="AB39">
        <f aca="true" t="shared" si="7" ref="AB39:AB71">SUM(O39:Z39)</f>
        <v>3.719716832167095</v>
      </c>
      <c r="AC39">
        <f aca="true" t="shared" si="8" ref="AC39:AC70">(AA39-AB39)/AD39</f>
        <v>0.16257095743287872</v>
      </c>
      <c r="AD39" s="3">
        <f aca="true" t="shared" si="9" ref="AD39:AD71">SUM(C39:Z39)/2</f>
        <v>4.048827732656472</v>
      </c>
      <c r="AE39" s="3">
        <f>AD39/SUM($AD$37:$AD$41)*100</f>
        <v>12.202918401539643</v>
      </c>
      <c r="AL39" s="3">
        <f>(AD39*1000)/(Q_monthly_by_region!AA34/10000)</f>
        <v>0.07007585105122278</v>
      </c>
      <c r="AM39" s="3"/>
      <c r="AS39" s="243" t="e">
        <f t="shared" si="4"/>
        <v>#DIV/0!</v>
      </c>
      <c r="AW39" s="7"/>
    </row>
    <row r="40" spans="1:49" ht="15.75" hidden="1" thickTop="1">
      <c r="A40" t="s">
        <v>156</v>
      </c>
      <c r="B40" t="s">
        <v>255</v>
      </c>
      <c r="C40">
        <v>0.880912831046182</v>
      </c>
      <c r="D40">
        <v>0.245169084472083</v>
      </c>
      <c r="E40">
        <v>1.18853564815168</v>
      </c>
      <c r="F40">
        <v>0.634838046885325</v>
      </c>
      <c r="G40">
        <v>0.31347988943844</v>
      </c>
      <c r="H40">
        <v>0.275632218488623</v>
      </c>
      <c r="I40">
        <v>0.226004714123062</v>
      </c>
      <c r="J40">
        <v>0.131902318614655</v>
      </c>
      <c r="K40">
        <v>0.184368778988874</v>
      </c>
      <c r="L40">
        <v>0.207098051096853</v>
      </c>
      <c r="M40">
        <v>0.272141979731574</v>
      </c>
      <c r="N40">
        <v>0.630271600693216</v>
      </c>
      <c r="O40">
        <v>0.740200321198392</v>
      </c>
      <c r="P40">
        <v>0.396031189756342</v>
      </c>
      <c r="Q40">
        <v>0.194683630113424</v>
      </c>
      <c r="R40">
        <v>0.127769629656129</v>
      </c>
      <c r="S40">
        <v>0.177360701242833</v>
      </c>
      <c r="T40">
        <v>0.087936410983822</v>
      </c>
      <c r="U40">
        <v>0.118965508104581</v>
      </c>
      <c r="V40">
        <v>0.061789014615258</v>
      </c>
      <c r="W40">
        <v>0.065167916731412</v>
      </c>
      <c r="X40">
        <v>0.08872811327148</v>
      </c>
      <c r="Y40">
        <v>0.548479814165014</v>
      </c>
      <c r="Z40">
        <v>0.484975242014175</v>
      </c>
      <c r="AA40">
        <f t="shared" si="6"/>
        <v>5.190355161730566</v>
      </c>
      <c r="AB40">
        <f t="shared" si="7"/>
        <v>3.0920874918528622</v>
      </c>
      <c r="AC40">
        <f t="shared" si="8"/>
        <v>0.5066784661575364</v>
      </c>
      <c r="AD40" s="3">
        <f t="shared" si="9"/>
        <v>4.141221326791714</v>
      </c>
      <c r="AE40" s="3">
        <f>AD40/SUM($AD$37:$AD$41)*100</f>
        <v>12.481387026164874</v>
      </c>
      <c r="AL40" s="3">
        <f>(AD40*1000)/(Q_monthly_by_region!AA35/10000)</f>
        <v>0.06705852550185476</v>
      </c>
      <c r="AM40" s="3"/>
      <c r="AP40" s="1" t="s">
        <v>793</v>
      </c>
      <c r="AS40" s="243" t="e">
        <f t="shared" si="4"/>
        <v>#VALUE!</v>
      </c>
      <c r="AW40" s="7"/>
    </row>
    <row r="41" spans="1:49" ht="15.75" hidden="1" thickTop="1">
      <c r="A41" t="s">
        <v>156</v>
      </c>
      <c r="B41" t="s">
        <v>256</v>
      </c>
      <c r="C41">
        <v>0.273998826026358</v>
      </c>
      <c r="D41">
        <v>0.137210297541817</v>
      </c>
      <c r="E41">
        <v>0.258398573137963</v>
      </c>
      <c r="F41">
        <v>0.18801927589642</v>
      </c>
      <c r="G41">
        <v>0.334768339010411</v>
      </c>
      <c r="H41">
        <v>0.119964674871966</v>
      </c>
      <c r="I41">
        <v>0.054411507406426</v>
      </c>
      <c r="J41">
        <v>0.073245590335529</v>
      </c>
      <c r="K41">
        <v>0.123377820049628</v>
      </c>
      <c r="L41">
        <v>0.128486668961449</v>
      </c>
      <c r="M41">
        <v>0.147777279585273</v>
      </c>
      <c r="N41">
        <v>0.873130749555935</v>
      </c>
      <c r="O41">
        <v>1.39158003524523</v>
      </c>
      <c r="P41">
        <v>0.492781003196479</v>
      </c>
      <c r="Q41">
        <v>0.168817314942247</v>
      </c>
      <c r="R41">
        <v>0.163858806927084</v>
      </c>
      <c r="S41">
        <v>0.446514755091097</v>
      </c>
      <c r="T41">
        <v>0.035898963469948</v>
      </c>
      <c r="U41">
        <v>0.70893692249023</v>
      </c>
      <c r="V41">
        <v>0.05049662430021</v>
      </c>
      <c r="W41">
        <v>0.12529430433147</v>
      </c>
      <c r="X41">
        <v>0.161308187849311</v>
      </c>
      <c r="Y41">
        <v>0.623370829263533</v>
      </c>
      <c r="Z41">
        <v>0.53906487738686</v>
      </c>
      <c r="AA41">
        <f t="shared" si="6"/>
        <v>2.712789602379175</v>
      </c>
      <c r="AB41">
        <f t="shared" si="7"/>
        <v>4.907922624493699</v>
      </c>
      <c r="AC41">
        <f t="shared" si="8"/>
        <v>-0.5760965528586263</v>
      </c>
      <c r="AD41" s="3">
        <f t="shared" si="9"/>
        <v>3.8103561134364363</v>
      </c>
      <c r="AE41" s="3">
        <f>AD41/SUM($AD$37:$AD$41)*100</f>
        <v>11.484179570802626</v>
      </c>
      <c r="AL41" s="3">
        <f>(AD41*1000)/(Q_monthly_by_region!AA36/10000)</f>
        <v>0.03868615991781251</v>
      </c>
      <c r="AM41" s="3">
        <f>(1000*SUM(AD37:AD41))/(2768.5*100)</f>
        <v>0.11984531574720982</v>
      </c>
      <c r="AP41" s="1">
        <f>AP34/AP29</f>
        <v>23.140885716076163</v>
      </c>
      <c r="AS41" s="243" t="str">
        <f t="shared" si="4"/>
        <v>0 MT  (0%)</v>
      </c>
      <c r="AW41" s="7"/>
    </row>
    <row r="42" spans="1:45" ht="15.75" hidden="1" thickTop="1">
      <c r="A42" t="s">
        <v>157</v>
      </c>
      <c r="B42" t="s">
        <v>253</v>
      </c>
      <c r="C42">
        <v>268.06135705669</v>
      </c>
      <c r="D42">
        <v>59.9605290156845</v>
      </c>
      <c r="E42">
        <v>46.1723468643739</v>
      </c>
      <c r="F42">
        <v>174.78817459067</v>
      </c>
      <c r="G42">
        <v>151.772161834654</v>
      </c>
      <c r="H42">
        <v>60.668260996672</v>
      </c>
      <c r="I42">
        <v>27.8686111332138</v>
      </c>
      <c r="J42">
        <v>29.200489861486</v>
      </c>
      <c r="K42">
        <v>145.876487151947</v>
      </c>
      <c r="L42">
        <v>165.873069865121</v>
      </c>
      <c r="M42">
        <v>241.056238767218</v>
      </c>
      <c r="N42">
        <v>295.67512289037</v>
      </c>
      <c r="O42">
        <v>497.191665866478</v>
      </c>
      <c r="P42">
        <v>283.436582047156</v>
      </c>
      <c r="Q42">
        <v>251.369948639854</v>
      </c>
      <c r="R42">
        <v>104.584343070692</v>
      </c>
      <c r="S42">
        <v>17.2911777007645</v>
      </c>
      <c r="T42">
        <v>85.2222936719156</v>
      </c>
      <c r="U42">
        <v>57.2563707393417</v>
      </c>
      <c r="V42">
        <v>22.0367512000267</v>
      </c>
      <c r="W42">
        <v>13.7161027665711</v>
      </c>
      <c r="X42">
        <v>13.4093134858184</v>
      </c>
      <c r="Y42">
        <v>199.832833957669</v>
      </c>
      <c r="Z42">
        <v>392.792994195106</v>
      </c>
      <c r="AA42">
        <f t="shared" si="6"/>
        <v>1666.9728500281003</v>
      </c>
      <c r="AB42">
        <f t="shared" si="7"/>
        <v>1938.140377341393</v>
      </c>
      <c r="AC42">
        <f t="shared" si="8"/>
        <v>-0.15043495735702753</v>
      </c>
      <c r="AD42" s="3">
        <f t="shared" si="9"/>
        <v>1802.5566136847465</v>
      </c>
      <c r="AE42" s="3">
        <f>AD42/SUM($AD$42:$AD$46)*100</f>
        <v>8.17430226212037</v>
      </c>
      <c r="AL42" s="3">
        <f>(AD42*1000)/(Q_monthly_by_region!AA37/10000)</f>
        <v>71.10087975689378</v>
      </c>
      <c r="AM42" s="3"/>
      <c r="AP42" s="1" t="s">
        <v>794</v>
      </c>
      <c r="AS42" s="243" t="e">
        <f t="shared" si="4"/>
        <v>#VALUE!</v>
      </c>
    </row>
    <row r="43" spans="1:49" ht="15.75" hidden="1" thickTop="1">
      <c r="A43" t="s">
        <v>157</v>
      </c>
      <c r="B43" t="s">
        <v>149</v>
      </c>
      <c r="C43">
        <v>966.382473948258</v>
      </c>
      <c r="D43">
        <v>254.944894636306</v>
      </c>
      <c r="E43">
        <v>499.267777570087</v>
      </c>
      <c r="F43">
        <v>682.420482796144</v>
      </c>
      <c r="G43">
        <v>452.939456380047</v>
      </c>
      <c r="H43">
        <v>192.887070744734</v>
      </c>
      <c r="I43">
        <v>150.920484957094</v>
      </c>
      <c r="J43">
        <v>105.089632743198</v>
      </c>
      <c r="K43">
        <v>90.1911991927259</v>
      </c>
      <c r="L43">
        <v>238.531483688961</v>
      </c>
      <c r="M43">
        <v>561.272236954592</v>
      </c>
      <c r="N43">
        <v>1950.25842810936</v>
      </c>
      <c r="O43">
        <v>3153.56373513904</v>
      </c>
      <c r="P43">
        <v>985.03022771635</v>
      </c>
      <c r="Q43">
        <v>570.053046296531</v>
      </c>
      <c r="R43">
        <v>453.449268408956</v>
      </c>
      <c r="S43">
        <v>267.715640548142</v>
      </c>
      <c r="T43">
        <v>254.67587652545</v>
      </c>
      <c r="U43">
        <v>144.145551702626</v>
      </c>
      <c r="V43">
        <v>111.63417762603</v>
      </c>
      <c r="W43">
        <v>81.0658626588317</v>
      </c>
      <c r="X43">
        <v>79.1433121490163</v>
      </c>
      <c r="Y43">
        <v>2086.61118440544</v>
      </c>
      <c r="Z43">
        <v>1344.41615878431</v>
      </c>
      <c r="AA43">
        <f t="shared" si="6"/>
        <v>6145.105621721506</v>
      </c>
      <c r="AB43">
        <f t="shared" si="7"/>
        <v>9531.504041960723</v>
      </c>
      <c r="AC43">
        <f t="shared" si="8"/>
        <v>-0.4320319881516775</v>
      </c>
      <c r="AD43" s="3">
        <f t="shared" si="9"/>
        <v>7838.304831841115</v>
      </c>
      <c r="AE43" s="3">
        <f>AD43/SUM($AD$42:$AD$46)*100</f>
        <v>35.54544275152164</v>
      </c>
      <c r="AL43" s="3">
        <f>(AD43*1000)/(Q_monthly_by_region!AA38/10000)</f>
        <v>234.18376803733432</v>
      </c>
      <c r="AM43" s="3"/>
      <c r="AP43" s="1">
        <f>AP35/AP31</f>
        <v>10.150728110542488</v>
      </c>
      <c r="AS43" s="243" t="str">
        <f t="shared" si="4"/>
        <v>0 MT  (0%)</v>
      </c>
      <c r="AW43" s="7"/>
    </row>
    <row r="44" spans="1:49" ht="12.75" customHeight="1" hidden="1">
      <c r="A44" t="s">
        <v>157</v>
      </c>
      <c r="B44" t="s">
        <v>254</v>
      </c>
      <c r="C44">
        <v>497.01112611541</v>
      </c>
      <c r="D44">
        <v>215.286659735912</v>
      </c>
      <c r="E44">
        <v>323.028031617426</v>
      </c>
      <c r="F44">
        <v>447.490166709708</v>
      </c>
      <c r="G44">
        <v>257.959074694194</v>
      </c>
      <c r="H44">
        <v>208.757620632552</v>
      </c>
      <c r="I44">
        <v>159.889900329563</v>
      </c>
      <c r="J44">
        <v>68.0746799667773</v>
      </c>
      <c r="K44">
        <v>54.9642393997105</v>
      </c>
      <c r="L44">
        <v>92.3470716308006</v>
      </c>
      <c r="M44">
        <v>173.868794444584</v>
      </c>
      <c r="N44">
        <v>381.579228905343</v>
      </c>
      <c r="O44">
        <v>578.429531077385</v>
      </c>
      <c r="P44">
        <v>295.941009158965</v>
      </c>
      <c r="Q44">
        <v>148.836741132943</v>
      </c>
      <c r="R44">
        <v>149.115077436395</v>
      </c>
      <c r="S44">
        <v>71.3923082292731</v>
      </c>
      <c r="T44">
        <v>79.4111983174456</v>
      </c>
      <c r="U44">
        <v>58.7438882916209</v>
      </c>
      <c r="V44">
        <v>50.7374293076851</v>
      </c>
      <c r="W44">
        <v>40.2465736653645</v>
      </c>
      <c r="X44">
        <v>51.954626175222</v>
      </c>
      <c r="Y44">
        <v>394.134572623714</v>
      </c>
      <c r="Z44">
        <v>641.357964765046</v>
      </c>
      <c r="AA44">
        <f t="shared" si="6"/>
        <v>2880.2565941819803</v>
      </c>
      <c r="AB44">
        <f t="shared" si="7"/>
        <v>2560.3009201810587</v>
      </c>
      <c r="AC44">
        <f t="shared" si="8"/>
        <v>0.11761870843428839</v>
      </c>
      <c r="AD44" s="3">
        <f t="shared" si="9"/>
        <v>2720.27875718152</v>
      </c>
      <c r="AE44" s="3">
        <f>AD44/SUM($AD$42:$AD$46)*100</f>
        <v>12.336023528809879</v>
      </c>
      <c r="AL44" s="3">
        <f>(AD44*1000)/(Q_monthly_by_region!AA39/10000)</f>
        <v>47.08173861499075</v>
      </c>
      <c r="AM44" s="3"/>
      <c r="AP44" s="1" t="s">
        <v>795</v>
      </c>
      <c r="AS44" s="243" t="e">
        <f t="shared" si="4"/>
        <v>#VALUE!</v>
      </c>
      <c r="AW44" s="7"/>
    </row>
    <row r="45" spans="1:49" ht="15.75" hidden="1" thickTop="1">
      <c r="A45" t="s">
        <v>157</v>
      </c>
      <c r="B45" t="s">
        <v>255</v>
      </c>
      <c r="C45">
        <v>582.768946210767</v>
      </c>
      <c r="D45">
        <v>193.041445380161</v>
      </c>
      <c r="E45">
        <v>386.138870307034</v>
      </c>
      <c r="F45">
        <v>462.096696004102</v>
      </c>
      <c r="G45">
        <v>271.561745027768</v>
      </c>
      <c r="H45">
        <v>234.483518690693</v>
      </c>
      <c r="I45">
        <v>190.9477703866</v>
      </c>
      <c r="J45">
        <v>81.9683959963949</v>
      </c>
      <c r="K45">
        <v>61.8705148209212</v>
      </c>
      <c r="L45">
        <v>108.183628383438</v>
      </c>
      <c r="M45">
        <v>184.373471246406</v>
      </c>
      <c r="N45">
        <v>405.263038449985</v>
      </c>
      <c r="O45">
        <v>583.565829295555</v>
      </c>
      <c r="P45">
        <v>311.483076653408</v>
      </c>
      <c r="Q45">
        <v>170.114336051519</v>
      </c>
      <c r="R45">
        <v>162.226465681065</v>
      </c>
      <c r="S45">
        <v>77.7591119972569</v>
      </c>
      <c r="T45">
        <v>88.3304332223318</v>
      </c>
      <c r="U45">
        <v>64.4071341713533</v>
      </c>
      <c r="V45">
        <v>37.6793360543475</v>
      </c>
      <c r="W45">
        <v>41.5808008428881</v>
      </c>
      <c r="X45">
        <v>44.4784257297464</v>
      </c>
      <c r="Y45">
        <v>390.273232926123</v>
      </c>
      <c r="Z45">
        <v>555.192500928007</v>
      </c>
      <c r="AA45">
        <f t="shared" si="6"/>
        <v>3162.69804090427</v>
      </c>
      <c r="AB45">
        <f t="shared" si="7"/>
        <v>2527.090683553601</v>
      </c>
      <c r="AC45">
        <f t="shared" si="8"/>
        <v>0.22342037222523767</v>
      </c>
      <c r="AD45" s="3">
        <f t="shared" si="9"/>
        <v>2844.894362228935</v>
      </c>
      <c r="AE45" s="3">
        <f>AD45/SUM($AD$42:$AD$46)*100</f>
        <v>12.90113511226927</v>
      </c>
      <c r="AL45" s="3">
        <f>(AD45*1000)/(Q_monthly_by_region!AA40/10000)</f>
        <v>46.06718793448515</v>
      </c>
      <c r="AM45" s="3"/>
      <c r="AO45" t="s">
        <v>652</v>
      </c>
      <c r="AP45" s="1">
        <f>AP36/AP32</f>
        <v>16.279659657823398</v>
      </c>
      <c r="AS45" s="243" t="str">
        <f t="shared" si="4"/>
        <v>0 MT  (0%)</v>
      </c>
      <c r="AW45" s="7"/>
    </row>
    <row r="46" spans="1:49" ht="15.75" hidden="1" thickTop="1">
      <c r="A46" t="s">
        <v>157</v>
      </c>
      <c r="B46" t="s">
        <v>256</v>
      </c>
      <c r="C46">
        <v>796.82964705832</v>
      </c>
      <c r="D46">
        <v>302.996604794204</v>
      </c>
      <c r="E46">
        <v>433.332294862681</v>
      </c>
      <c r="F46">
        <v>639.599919525331</v>
      </c>
      <c r="G46">
        <v>709.453828882366</v>
      </c>
      <c r="H46">
        <v>390.273150694219</v>
      </c>
      <c r="I46">
        <v>238.564289900412</v>
      </c>
      <c r="J46">
        <v>145.435997362744</v>
      </c>
      <c r="K46">
        <v>116.966772853215</v>
      </c>
      <c r="L46">
        <v>210.782594505889</v>
      </c>
      <c r="M46">
        <v>439.989608035284</v>
      </c>
      <c r="N46">
        <v>1372.60676547514</v>
      </c>
      <c r="O46">
        <v>2000.13971463783</v>
      </c>
      <c r="P46">
        <v>865.60216929052</v>
      </c>
      <c r="Q46">
        <v>678.938192742639</v>
      </c>
      <c r="R46">
        <v>569.694232286764</v>
      </c>
      <c r="S46">
        <v>780.483486978073</v>
      </c>
      <c r="T46">
        <v>518.045754890216</v>
      </c>
      <c r="U46">
        <v>454.460631533177</v>
      </c>
      <c r="V46">
        <v>139.131446842255</v>
      </c>
      <c r="W46">
        <v>96.7212784971421</v>
      </c>
      <c r="X46">
        <v>109.218750122113</v>
      </c>
      <c r="Y46">
        <v>1106.43119374142</v>
      </c>
      <c r="Z46">
        <v>575.241116680937</v>
      </c>
      <c r="AA46">
        <f t="shared" si="6"/>
        <v>5796.8314739498055</v>
      </c>
      <c r="AB46">
        <f t="shared" si="7"/>
        <v>7894.107968243087</v>
      </c>
      <c r="AC46">
        <f t="shared" si="8"/>
        <v>-0.3063743730879229</v>
      </c>
      <c r="AD46" s="3">
        <f t="shared" si="9"/>
        <v>6845.469721096444</v>
      </c>
      <c r="AE46" s="3">
        <f>AD46/SUM($AD$42:$AD$46)*100</f>
        <v>31.043096345278848</v>
      </c>
      <c r="AL46" s="3">
        <f>(AD46*1000)/(Q_monthly_by_region!AA41/10000)</f>
        <v>69.50136114811679</v>
      </c>
      <c r="AM46" s="3">
        <f>(1000*SUM(AD42:AD46))/(2768.5*100)</f>
        <v>79.65145127698305</v>
      </c>
      <c r="AO46" t="s">
        <v>653</v>
      </c>
      <c r="AP46">
        <v>20.12905544147844</v>
      </c>
      <c r="AS46" s="243" t="str">
        <f t="shared" si="4"/>
        <v>0 MT  (0%)</v>
      </c>
      <c r="AW46" s="7"/>
    </row>
    <row r="47" spans="1:49" ht="15.75" hidden="1" thickTop="1">
      <c r="A47" t="s">
        <v>613</v>
      </c>
      <c r="B47" t="s">
        <v>253</v>
      </c>
      <c r="C47">
        <v>9.62624608167262</v>
      </c>
      <c r="D47">
        <v>0.66506161017641</v>
      </c>
      <c r="E47">
        <v>0.903940114600283</v>
      </c>
      <c r="F47">
        <v>1.40266179689909</v>
      </c>
      <c r="G47">
        <v>2.71802469784171</v>
      </c>
      <c r="H47">
        <v>0.837078941033012</v>
      </c>
      <c r="I47">
        <v>0.55424978131014</v>
      </c>
      <c r="J47">
        <v>0.327119853743304</v>
      </c>
      <c r="K47">
        <v>1.31301162242738</v>
      </c>
      <c r="L47">
        <v>0.806753888736743</v>
      </c>
      <c r="M47">
        <v>2.53227442312083</v>
      </c>
      <c r="N47">
        <v>1.97917341389123</v>
      </c>
      <c r="O47">
        <v>6.34966790893402</v>
      </c>
      <c r="P47">
        <v>5.30838394882645</v>
      </c>
      <c r="Q47">
        <v>4.51152756876927</v>
      </c>
      <c r="R47">
        <v>2.61958369529969</v>
      </c>
      <c r="S47">
        <v>0.158482086204223</v>
      </c>
      <c r="T47">
        <v>0.584720229275185</v>
      </c>
      <c r="U47">
        <v>0.312438536875553</v>
      </c>
      <c r="V47">
        <v>0.018053165932186</v>
      </c>
      <c r="W47">
        <v>0.130204646683602</v>
      </c>
      <c r="X47">
        <v>0.203027532201162</v>
      </c>
      <c r="Y47">
        <v>0.191082653068889</v>
      </c>
      <c r="Z47">
        <v>0.816072251330392</v>
      </c>
      <c r="AA47">
        <f t="shared" si="6"/>
        <v>23.66559622545276</v>
      </c>
      <c r="AB47">
        <f t="shared" si="7"/>
        <v>21.203244223400624</v>
      </c>
      <c r="AC47">
        <f t="shared" si="8"/>
        <v>0.10975777298541982</v>
      </c>
      <c r="AD47" s="3">
        <f t="shared" si="9"/>
        <v>22.434420224426688</v>
      </c>
      <c r="AE47" s="3">
        <f>AD47/SUM($AD$47:$AD$51)*100</f>
        <v>9.906472049449983</v>
      </c>
      <c r="AL47" s="3">
        <f>(AD47*1000)/(Q_monthly_by_region!AA42/10000)</f>
        <v>0.8849136846425618</v>
      </c>
      <c r="AM47" s="3"/>
      <c r="AS47" s="243" t="e">
        <f t="shared" si="4"/>
        <v>#DIV/0!</v>
      </c>
      <c r="AW47" s="7"/>
    </row>
    <row r="48" spans="1:49" ht="15.75" hidden="1" thickTop="1">
      <c r="A48" t="s">
        <v>613</v>
      </c>
      <c r="B48" t="s">
        <v>149</v>
      </c>
      <c r="C48">
        <v>2.29140847739262</v>
      </c>
      <c r="D48">
        <v>0.362303509039704</v>
      </c>
      <c r="E48">
        <v>3.43909727514998</v>
      </c>
      <c r="F48">
        <v>1.14291966224459</v>
      </c>
      <c r="G48">
        <v>2.37907383349045</v>
      </c>
      <c r="H48">
        <v>14.0379743362587</v>
      </c>
      <c r="I48">
        <v>0.797296957832243</v>
      </c>
      <c r="J48">
        <v>1.35640389306171</v>
      </c>
      <c r="K48">
        <v>0.42565380908067</v>
      </c>
      <c r="L48">
        <v>0.410942863346357</v>
      </c>
      <c r="M48">
        <v>2.80715423104534</v>
      </c>
      <c r="N48">
        <v>34.4135868675991</v>
      </c>
      <c r="O48">
        <v>21.0652485070539</v>
      </c>
      <c r="P48">
        <v>4.32754444238788</v>
      </c>
      <c r="Q48">
        <v>1.6545951532271</v>
      </c>
      <c r="R48">
        <v>1.28798572855747</v>
      </c>
      <c r="S48">
        <v>1.51325722159635</v>
      </c>
      <c r="T48">
        <v>5.41597637216977</v>
      </c>
      <c r="U48">
        <v>0.363796939121648</v>
      </c>
      <c r="V48">
        <v>1.32605665486185</v>
      </c>
      <c r="W48">
        <v>0.325706305934964</v>
      </c>
      <c r="X48">
        <v>0.176004972304386</v>
      </c>
      <c r="Y48">
        <v>111.897648396183</v>
      </c>
      <c r="Z48">
        <v>4.19954750103556</v>
      </c>
      <c r="AA48">
        <f t="shared" si="6"/>
        <v>63.86381571554146</v>
      </c>
      <c r="AB48">
        <f t="shared" si="7"/>
        <v>153.5533681944339</v>
      </c>
      <c r="AC48">
        <f t="shared" si="8"/>
        <v>-0.8250456644312867</v>
      </c>
      <c r="AD48" s="3">
        <f t="shared" si="9"/>
        <v>108.70859195498767</v>
      </c>
      <c r="AE48" s="3">
        <f>AD48/SUM($AD$47:$AD$51)*100</f>
        <v>48.00296227689429</v>
      </c>
      <c r="AL48" s="3">
        <f>(AD48*1000)/(Q_monthly_by_region!AA43/10000)</f>
        <v>3.247869051817976</v>
      </c>
      <c r="AM48" s="3"/>
      <c r="AS48" s="243" t="e">
        <f t="shared" si="4"/>
        <v>#DIV/0!</v>
      </c>
      <c r="AW48" s="7"/>
    </row>
    <row r="49" spans="1:49" ht="15.75" hidden="1" thickTop="1">
      <c r="A49" t="s">
        <v>613</v>
      </c>
      <c r="B49" t="s">
        <v>254</v>
      </c>
      <c r="C49">
        <v>3.31220048705584</v>
      </c>
      <c r="D49">
        <v>0.703665347175462</v>
      </c>
      <c r="E49">
        <v>1.73483365649091</v>
      </c>
      <c r="F49">
        <v>1.72195589357935</v>
      </c>
      <c r="G49">
        <v>1.42226378639698</v>
      </c>
      <c r="H49">
        <v>1.27087782492481</v>
      </c>
      <c r="I49">
        <v>0.997493906854982</v>
      </c>
      <c r="J49">
        <v>0.376862266710283</v>
      </c>
      <c r="K49">
        <v>0.686226253111244</v>
      </c>
      <c r="L49">
        <v>0.39993662529745</v>
      </c>
      <c r="M49">
        <v>0.892522599105324</v>
      </c>
      <c r="N49">
        <v>4.27292466270556</v>
      </c>
      <c r="O49">
        <v>4.62713113125102</v>
      </c>
      <c r="P49">
        <v>1.6864561959696</v>
      </c>
      <c r="Q49">
        <v>0.84048518253434</v>
      </c>
      <c r="R49">
        <v>0.595103752708679</v>
      </c>
      <c r="S49">
        <v>0.794015865584194</v>
      </c>
      <c r="T49">
        <v>0.779248519946561</v>
      </c>
      <c r="U49">
        <v>0.327856873558037</v>
      </c>
      <c r="V49">
        <v>0.476712327992265</v>
      </c>
      <c r="W49">
        <v>0.23904675626093</v>
      </c>
      <c r="X49">
        <v>0.116502215734307</v>
      </c>
      <c r="Y49">
        <v>2.45158565460877</v>
      </c>
      <c r="Z49">
        <v>1.03820548472819</v>
      </c>
      <c r="AA49">
        <f t="shared" si="6"/>
        <v>17.791763309408193</v>
      </c>
      <c r="AB49">
        <f t="shared" si="7"/>
        <v>13.972349960876894</v>
      </c>
      <c r="AC49">
        <f t="shared" si="8"/>
        <v>0.24048606778545337</v>
      </c>
      <c r="AD49" s="3">
        <f t="shared" si="9"/>
        <v>15.882056635142542</v>
      </c>
      <c r="AE49" s="3">
        <f>AD49/SUM($AD$47:$AD$51)*100</f>
        <v>7.01311415984417</v>
      </c>
      <c r="AL49" s="3">
        <f>(AD49*1000)/(Q_monthly_by_region!AA44/10000)</f>
        <v>0.2748816962931436</v>
      </c>
      <c r="AM49" s="3"/>
      <c r="AS49" s="243" t="e">
        <f t="shared" si="4"/>
        <v>#DIV/0!</v>
      </c>
      <c r="AW49" s="7"/>
    </row>
    <row r="50" spans="1:49" ht="15.75" hidden="1" thickTop="1">
      <c r="A50" t="s">
        <v>613</v>
      </c>
      <c r="B50" t="s">
        <v>255</v>
      </c>
      <c r="C50">
        <v>4.98367710072556</v>
      </c>
      <c r="D50">
        <v>0.620115070828086</v>
      </c>
      <c r="E50">
        <v>1.84978204012476</v>
      </c>
      <c r="F50">
        <v>2.59809490053513</v>
      </c>
      <c r="G50">
        <v>1.50042940457212</v>
      </c>
      <c r="H50">
        <v>0.567885548559084</v>
      </c>
      <c r="I50">
        <v>0.979478426144727</v>
      </c>
      <c r="J50">
        <v>0.270123841815829</v>
      </c>
      <c r="K50">
        <v>0.684250924566169</v>
      </c>
      <c r="L50">
        <v>0.561837360376193</v>
      </c>
      <c r="M50">
        <v>0.860088935009933</v>
      </c>
      <c r="N50">
        <v>7.03225263503953</v>
      </c>
      <c r="O50">
        <v>5.38217569987196</v>
      </c>
      <c r="P50">
        <v>1.61550994629138</v>
      </c>
      <c r="Q50">
        <v>0.841514440116437</v>
      </c>
      <c r="R50">
        <v>0.588809825587733</v>
      </c>
      <c r="S50">
        <v>0.555575496227093</v>
      </c>
      <c r="T50">
        <v>2.02723519750416</v>
      </c>
      <c r="U50">
        <v>0.397035849260438</v>
      </c>
      <c r="V50">
        <v>1.14044130114252</v>
      </c>
      <c r="W50">
        <v>0.170163919280673</v>
      </c>
      <c r="X50">
        <v>0.090277340771444</v>
      </c>
      <c r="Y50">
        <v>1.38042886792085</v>
      </c>
      <c r="Z50">
        <v>1.24871266269436</v>
      </c>
      <c r="AA50">
        <f t="shared" si="6"/>
        <v>22.50801618829712</v>
      </c>
      <c r="AB50">
        <f t="shared" si="7"/>
        <v>15.437880546669046</v>
      </c>
      <c r="AC50">
        <f t="shared" si="8"/>
        <v>0.37264296010762743</v>
      </c>
      <c r="AD50" s="3">
        <f t="shared" si="9"/>
        <v>18.972948367483085</v>
      </c>
      <c r="AE50" s="3">
        <f>AD50/SUM($AD$47:$AD$51)*100</f>
        <v>8.377973703705644</v>
      </c>
      <c r="AL50" s="3">
        <f>(AD50*1000)/(Q_monthly_by_region!AA45/10000)</f>
        <v>0.3072277093028284</v>
      </c>
      <c r="AM50" s="3"/>
      <c r="AS50" s="243" t="e">
        <f t="shared" si="4"/>
        <v>#DIV/0!</v>
      </c>
      <c r="AW50" s="7"/>
    </row>
    <row r="51" spans="1:49" ht="15.75" hidden="1" thickTop="1">
      <c r="A51" t="s">
        <v>613</v>
      </c>
      <c r="B51" t="s">
        <v>256</v>
      </c>
      <c r="C51">
        <v>3.95485413057905</v>
      </c>
      <c r="D51">
        <v>0.707600201467491</v>
      </c>
      <c r="E51">
        <v>1.93793831729295</v>
      </c>
      <c r="F51">
        <v>4.63377844713968</v>
      </c>
      <c r="G51">
        <v>4.11628869081465</v>
      </c>
      <c r="H51">
        <v>1.93699881075392</v>
      </c>
      <c r="I51">
        <v>1.35330542679631</v>
      </c>
      <c r="J51">
        <v>0.735123779353753</v>
      </c>
      <c r="K51">
        <v>0.795121742838089</v>
      </c>
      <c r="L51">
        <v>1.23340811570397</v>
      </c>
      <c r="M51">
        <v>2.01005000923598</v>
      </c>
      <c r="N51">
        <v>10.5223560479728</v>
      </c>
      <c r="O51">
        <v>8.99041639372121</v>
      </c>
      <c r="P51">
        <v>2.65155007188305</v>
      </c>
      <c r="Q51">
        <v>4.96915917612611</v>
      </c>
      <c r="R51">
        <v>2.38616912896333</v>
      </c>
      <c r="S51">
        <v>21.5969230761591</v>
      </c>
      <c r="T51">
        <v>4.01258257029001</v>
      </c>
      <c r="U51">
        <v>4.07802055238163</v>
      </c>
      <c r="V51">
        <v>1.92117155900022</v>
      </c>
      <c r="W51">
        <v>0.714783604499045</v>
      </c>
      <c r="X51">
        <v>0.438780883211017</v>
      </c>
      <c r="Y51">
        <v>33.6782251680986</v>
      </c>
      <c r="Z51">
        <v>1.55387438107423</v>
      </c>
      <c r="AA51">
        <f t="shared" si="6"/>
        <v>33.93682371994864</v>
      </c>
      <c r="AB51">
        <f t="shared" si="7"/>
        <v>86.99165656540754</v>
      </c>
      <c r="AC51">
        <f t="shared" si="8"/>
        <v>-0.8774580267653221</v>
      </c>
      <c r="AD51" s="3">
        <f t="shared" si="9"/>
        <v>60.46424014267809</v>
      </c>
      <c r="AE51" s="3">
        <f>AD51/SUM($AD$47:$AD$51)*100</f>
        <v>26.699477810105932</v>
      </c>
      <c r="AL51" s="3">
        <f>(AD51*1000)/(Q_monthly_by_region!AA46/10000)</f>
        <v>0.6138873096979586</v>
      </c>
      <c r="AM51" s="3"/>
      <c r="AS51" s="243" t="e">
        <f t="shared" si="4"/>
        <v>#DIV/0!</v>
      </c>
      <c r="AW51" s="7"/>
    </row>
    <row r="52" spans="1:49" ht="15.75" hidden="1" thickTop="1">
      <c r="A52" t="s">
        <v>789</v>
      </c>
      <c r="B52" t="s">
        <v>253</v>
      </c>
      <c r="C52">
        <v>130.081448021211</v>
      </c>
      <c r="D52">
        <v>14.5598479010873</v>
      </c>
      <c r="E52">
        <v>8.91722580560558</v>
      </c>
      <c r="F52">
        <v>22.3492714001908</v>
      </c>
      <c r="G52">
        <v>19.2932780791681</v>
      </c>
      <c r="H52">
        <v>8.83261429828887</v>
      </c>
      <c r="I52">
        <v>12.0327374578234</v>
      </c>
      <c r="J52">
        <v>2.4240204430866</v>
      </c>
      <c r="K52">
        <v>13.9996337333186</v>
      </c>
      <c r="L52">
        <v>8.08591093964324</v>
      </c>
      <c r="M52">
        <v>17.8106250709607</v>
      </c>
      <c r="N52">
        <v>23.5446752516889</v>
      </c>
      <c r="O52">
        <v>66.5135452179237</v>
      </c>
      <c r="P52">
        <v>42.9354713297662</v>
      </c>
      <c r="Q52">
        <v>46.1849556731906</v>
      </c>
      <c r="R52">
        <v>27.1616168690167</v>
      </c>
      <c r="S52">
        <v>1.26380354319506</v>
      </c>
      <c r="T52">
        <v>5.42335562994169</v>
      </c>
      <c r="U52">
        <v>2.08593384431994</v>
      </c>
      <c r="V52">
        <v>0.592403354636251</v>
      </c>
      <c r="W52">
        <v>1.16594730311909</v>
      </c>
      <c r="X52">
        <v>0.398279195685152</v>
      </c>
      <c r="Y52">
        <v>2.23905860459092</v>
      </c>
      <c r="Z52">
        <v>10.9136896848175</v>
      </c>
      <c r="AA52">
        <f t="shared" si="6"/>
        <v>281.93128840207305</v>
      </c>
      <c r="AB52">
        <f t="shared" si="7"/>
        <v>206.87806025020282</v>
      </c>
      <c r="AC52">
        <f t="shared" si="8"/>
        <v>0.3070858949764515</v>
      </c>
      <c r="AD52" s="3">
        <f t="shared" si="9"/>
        <v>244.40467432613792</v>
      </c>
      <c r="AE52" s="3">
        <f>AD52/SUM($AD$52:$AD$56)*100</f>
        <v>10.632037028753052</v>
      </c>
      <c r="AL52" s="3">
        <f>(AD52*1000)/(Q_monthly_by_region!AA47/10000)</f>
        <v>9.640411418625595</v>
      </c>
      <c r="AM52" s="3"/>
      <c r="AS52" s="243" t="e">
        <f t="shared" si="4"/>
        <v>#DIV/0!</v>
      </c>
      <c r="AW52" s="7"/>
    </row>
    <row r="53" spans="1:49" ht="15.75" hidden="1" thickTop="1">
      <c r="A53" t="s">
        <v>789</v>
      </c>
      <c r="B53" t="s">
        <v>149</v>
      </c>
      <c r="C53">
        <v>37.8301357954701</v>
      </c>
      <c r="D53">
        <v>6.89121662262449</v>
      </c>
      <c r="E53">
        <v>23.3947298415927</v>
      </c>
      <c r="F53">
        <v>18.1889102549888</v>
      </c>
      <c r="G53">
        <v>17.5346392251667</v>
      </c>
      <c r="H53">
        <v>148.124635280439</v>
      </c>
      <c r="I53">
        <v>12.1205891574299</v>
      </c>
      <c r="J53">
        <v>13.0497314076687</v>
      </c>
      <c r="K53">
        <v>2.82954236419458</v>
      </c>
      <c r="L53">
        <v>5.0016229860161</v>
      </c>
      <c r="M53">
        <v>29.6515756493315</v>
      </c>
      <c r="N53">
        <v>409.3914769451</v>
      </c>
      <c r="O53">
        <v>116.120265587557</v>
      </c>
      <c r="P53">
        <v>35.8615361234002</v>
      </c>
      <c r="Q53">
        <v>27.3109625577075</v>
      </c>
      <c r="R53">
        <v>16.0151977606346</v>
      </c>
      <c r="S53">
        <v>13.2171184262864</v>
      </c>
      <c r="T53">
        <v>32.3023503272097</v>
      </c>
      <c r="U53">
        <v>2.69326813554172</v>
      </c>
      <c r="V53">
        <v>11.6860413957299</v>
      </c>
      <c r="W53">
        <v>2.34811961016544</v>
      </c>
      <c r="X53">
        <v>2.13054123193348</v>
      </c>
      <c r="Y53">
        <v>1311.18857965949</v>
      </c>
      <c r="Z53">
        <v>56.1623779858156</v>
      </c>
      <c r="AA53">
        <f t="shared" si="6"/>
        <v>724.0088055300225</v>
      </c>
      <c r="AB53">
        <f t="shared" si="7"/>
        <v>1627.0363588014714</v>
      </c>
      <c r="AC53">
        <f t="shared" si="8"/>
        <v>-0.7681924337070057</v>
      </c>
      <c r="AD53" s="3">
        <f t="shared" si="9"/>
        <v>1175.522582165747</v>
      </c>
      <c r="AE53" s="3">
        <f>AD53/SUM($AD$52:$AD$56)*100</f>
        <v>51.13731828648991</v>
      </c>
      <c r="AL53" s="3">
        <f>(AD53*1000)/(Q_monthly_by_region!AA48/10000)</f>
        <v>35.120898409852984</v>
      </c>
      <c r="AM53" s="3"/>
      <c r="AS53" s="243" t="e">
        <f t="shared" si="4"/>
        <v>#DIV/0!</v>
      </c>
      <c r="AW53" s="7"/>
    </row>
    <row r="54" spans="1:49" ht="15.75" hidden="1" thickTop="1">
      <c r="A54" t="s">
        <v>789</v>
      </c>
      <c r="B54" t="s">
        <v>254</v>
      </c>
      <c r="C54">
        <v>26.8330498097969</v>
      </c>
      <c r="D54">
        <v>8.57831200476629</v>
      </c>
      <c r="E54">
        <v>14.6173815364527</v>
      </c>
      <c r="F54">
        <v>22.4208091428354</v>
      </c>
      <c r="G54">
        <v>12.2806421900723</v>
      </c>
      <c r="H54">
        <v>14.0540154810131</v>
      </c>
      <c r="I54">
        <v>10.6586258878964</v>
      </c>
      <c r="J54">
        <v>4.26944275387505</v>
      </c>
      <c r="K54">
        <v>4.01737976070019</v>
      </c>
      <c r="L54">
        <v>3.65202179838193</v>
      </c>
      <c r="M54">
        <v>8.26274362797524</v>
      </c>
      <c r="N54">
        <v>39.1733950914446</v>
      </c>
      <c r="O54">
        <v>37.7353915919572</v>
      </c>
      <c r="P54">
        <v>13.3320583126451</v>
      </c>
      <c r="Q54">
        <v>10.3272223536936</v>
      </c>
      <c r="R54">
        <v>6.05055654397259</v>
      </c>
      <c r="S54">
        <v>7.01685204868567</v>
      </c>
      <c r="T54">
        <v>9.42605403745204</v>
      </c>
      <c r="U54">
        <v>3.18757660060834</v>
      </c>
      <c r="V54">
        <v>4.36040883956907</v>
      </c>
      <c r="W54">
        <v>2.04914049056079</v>
      </c>
      <c r="X54">
        <v>1.43440130696193</v>
      </c>
      <c r="Y54">
        <v>28.727065836083298</v>
      </c>
      <c r="Z54">
        <v>13.8843741726634</v>
      </c>
      <c r="AA54">
        <f t="shared" si="6"/>
        <v>168.8178190852101</v>
      </c>
      <c r="AB54">
        <f t="shared" si="7"/>
        <v>137.53110213485303</v>
      </c>
      <c r="AC54">
        <f t="shared" si="8"/>
        <v>0.20425544066389917</v>
      </c>
      <c r="AD54" s="3">
        <f t="shared" si="9"/>
        <v>153.17446061003156</v>
      </c>
      <c r="AE54" s="3">
        <f>AD54/SUM($AD$52:$AD$56)*100</f>
        <v>6.663360844285476</v>
      </c>
      <c r="AL54" s="3">
        <f>(AD54*1000)/(Q_monthly_by_region!AA49/10000)</f>
        <v>2.6510959209216347</v>
      </c>
      <c r="AM54" s="3"/>
      <c r="AS54" s="243" t="e">
        <f t="shared" si="4"/>
        <v>#DIV/0!</v>
      </c>
      <c r="AW54" s="7"/>
    </row>
    <row r="55" spans="1:49" ht="15.75" hidden="1" thickTop="1">
      <c r="A55" t="s">
        <v>789</v>
      </c>
      <c r="B55" t="s">
        <v>255</v>
      </c>
      <c r="C55">
        <v>35.8628319806223</v>
      </c>
      <c r="D55">
        <v>7.18712660308103</v>
      </c>
      <c r="E55">
        <v>15.0051188064127</v>
      </c>
      <c r="F55">
        <v>27.4220896838231</v>
      </c>
      <c r="G55">
        <v>12.2686128627337</v>
      </c>
      <c r="H55">
        <v>5.60242759734419</v>
      </c>
      <c r="I55">
        <v>9.05860678486701</v>
      </c>
      <c r="J55">
        <v>3.03208047266206</v>
      </c>
      <c r="K55">
        <v>3.52241466353091</v>
      </c>
      <c r="L55">
        <v>4.40491703355868</v>
      </c>
      <c r="M55">
        <v>8.31448071121019</v>
      </c>
      <c r="N55">
        <v>55.5080818569195</v>
      </c>
      <c r="O55">
        <v>43.8929831772985</v>
      </c>
      <c r="P55">
        <v>12.6058418710132</v>
      </c>
      <c r="Q55">
        <v>11.5799504885241</v>
      </c>
      <c r="R55">
        <v>5.45422506681011</v>
      </c>
      <c r="S55">
        <v>5.22587687507238</v>
      </c>
      <c r="T55">
        <v>25.7694404790238</v>
      </c>
      <c r="U55">
        <v>3.70643459176146</v>
      </c>
      <c r="V55">
        <v>10.7288618803773</v>
      </c>
      <c r="W55">
        <v>1.32805242312824</v>
      </c>
      <c r="X55">
        <v>0.979184091940244</v>
      </c>
      <c r="Y55">
        <v>16.1755192588287</v>
      </c>
      <c r="Z55">
        <v>16.6995783571019</v>
      </c>
      <c r="AA55">
        <f t="shared" si="6"/>
        <v>187.18878905676536</v>
      </c>
      <c r="AB55">
        <f t="shared" si="7"/>
        <v>154.14594856087993</v>
      </c>
      <c r="AC55">
        <f t="shared" si="8"/>
        <v>0.19360959699858737</v>
      </c>
      <c r="AD55" s="3">
        <f t="shared" si="9"/>
        <v>170.66736880882263</v>
      </c>
      <c r="AE55" s="3">
        <f>AD55/SUM($AD$52:$AD$56)*100</f>
        <v>7.424333392060658</v>
      </c>
      <c r="AL55" s="3">
        <f>(AD55*1000)/(Q_monthly_by_region!AA50/10000)</f>
        <v>2.7636055164593967</v>
      </c>
      <c r="AM55" s="3"/>
      <c r="AS55" s="243" t="e">
        <f t="shared" si="4"/>
        <v>#DIV/0!</v>
      </c>
      <c r="AW55" s="7"/>
    </row>
    <row r="56" spans="1:49" ht="15.75" hidden="1" thickTop="1">
      <c r="A56" t="s">
        <v>789</v>
      </c>
      <c r="B56" t="s">
        <v>256</v>
      </c>
      <c r="C56">
        <v>43.2612841203633</v>
      </c>
      <c r="D56">
        <v>8.7549661811821</v>
      </c>
      <c r="E56">
        <v>12.8162902733006</v>
      </c>
      <c r="F56">
        <v>29.7427531544821</v>
      </c>
      <c r="G56">
        <v>28.1975413700772</v>
      </c>
      <c r="H56">
        <v>20.7650983606109</v>
      </c>
      <c r="I56">
        <v>17.1495825922856</v>
      </c>
      <c r="J56">
        <v>10.3948318550706</v>
      </c>
      <c r="K56">
        <v>8.23163271062592</v>
      </c>
      <c r="L56">
        <v>10.3366656821005</v>
      </c>
      <c r="M56">
        <v>26.2990815357275</v>
      </c>
      <c r="N56">
        <v>99.4988429150094</v>
      </c>
      <c r="O56">
        <v>78.6207059535553</v>
      </c>
      <c r="P56">
        <v>25.6535645281906</v>
      </c>
      <c r="Q56">
        <v>46.1478558676787</v>
      </c>
      <c r="R56">
        <v>25.314343064594</v>
      </c>
      <c r="S56">
        <v>94.4600889571442</v>
      </c>
      <c r="T56">
        <v>42.1577082663935</v>
      </c>
      <c r="U56">
        <v>36.3323745124262</v>
      </c>
      <c r="V56">
        <v>17.4802464152736</v>
      </c>
      <c r="W56">
        <v>5.63849671773966</v>
      </c>
      <c r="X56">
        <v>7.30784108449646</v>
      </c>
      <c r="Y56">
        <v>394.63299592557</v>
      </c>
      <c r="Z56">
        <v>20.7806389404683</v>
      </c>
      <c r="AA56">
        <f t="shared" si="6"/>
        <v>315.44857075083576</v>
      </c>
      <c r="AB56">
        <f t="shared" si="7"/>
        <v>794.5268602335306</v>
      </c>
      <c r="AC56">
        <f t="shared" si="8"/>
        <v>-0.8632232319914158</v>
      </c>
      <c r="AD56" s="3">
        <f t="shared" si="9"/>
        <v>554.9877154921833</v>
      </c>
      <c r="AE56" s="3">
        <f>AD56/SUM($AD$52:$AD$56)*100</f>
        <v>24.142950448410918</v>
      </c>
      <c r="AL56" s="3">
        <f>(AD56*1000)/(Q_monthly_by_region!AA51/10000)</f>
        <v>5.6347340969630855</v>
      </c>
      <c r="AM56" s="3"/>
      <c r="AS56" s="243" t="e">
        <f t="shared" si="4"/>
        <v>#DIV/0!</v>
      </c>
      <c r="AW56" s="7"/>
    </row>
    <row r="57" spans="1:49" ht="15.75" hidden="1" thickTop="1">
      <c r="A57" t="s">
        <v>790</v>
      </c>
      <c r="B57" t="s">
        <v>253</v>
      </c>
      <c r="C57">
        <v>13.8733633303746</v>
      </c>
      <c r="D57">
        <v>2.35485225465084</v>
      </c>
      <c r="E57">
        <v>2.1134732931599</v>
      </c>
      <c r="F57">
        <v>6.38893514206856</v>
      </c>
      <c r="G57">
        <v>6.4266583168921</v>
      </c>
      <c r="H57">
        <v>1.74742557441527</v>
      </c>
      <c r="I57">
        <v>0.995505007330588</v>
      </c>
      <c r="J57">
        <v>0.717463895905801</v>
      </c>
      <c r="K57">
        <v>5.12265328800195</v>
      </c>
      <c r="L57">
        <v>5.30103250316046</v>
      </c>
      <c r="M57">
        <v>10.6441649530745</v>
      </c>
      <c r="N57">
        <v>10.0957639905578</v>
      </c>
      <c r="O57">
        <v>20.2534021833308</v>
      </c>
      <c r="P57">
        <v>12.3487829640153</v>
      </c>
      <c r="Q57">
        <v>10.8221786053929</v>
      </c>
      <c r="R57">
        <v>5.69076867754399</v>
      </c>
      <c r="S57">
        <v>0.482435674202817</v>
      </c>
      <c r="T57">
        <v>1.74408927960463</v>
      </c>
      <c r="U57">
        <v>1.33602232436994</v>
      </c>
      <c r="V57">
        <v>0.305817552283615</v>
      </c>
      <c r="W57">
        <v>0.320589917683486</v>
      </c>
      <c r="X57">
        <v>0.357275607558653</v>
      </c>
      <c r="Y57">
        <v>4.30451510652251</v>
      </c>
      <c r="Z57">
        <v>9.41576555477969</v>
      </c>
      <c r="AA57">
        <f t="shared" si="6"/>
        <v>65.78129154959237</v>
      </c>
      <c r="AB57">
        <f t="shared" si="7"/>
        <v>67.38164344728833</v>
      </c>
      <c r="AC57">
        <f t="shared" si="8"/>
        <v>-0.02403599616865528</v>
      </c>
      <c r="AD57" s="3">
        <f t="shared" si="9"/>
        <v>66.58146749844035</v>
      </c>
      <c r="AE57" s="3">
        <f>AD57/SUM($AD$57:$AD$61)*100</f>
        <v>7.1946650532201115</v>
      </c>
      <c r="AL57" s="3">
        <f>(AD57*1000)/(Q_monthly_by_region!AA52/10000)</f>
        <v>2.6262703089069688</v>
      </c>
      <c r="AM57" s="3"/>
      <c r="AS57" s="243" t="e">
        <f t="shared" si="4"/>
        <v>#DIV/0!</v>
      </c>
      <c r="AW57" s="7"/>
    </row>
    <row r="58" spans="1:49" ht="15.75" hidden="1" thickTop="1">
      <c r="A58" t="s">
        <v>790</v>
      </c>
      <c r="B58" t="s">
        <v>149</v>
      </c>
      <c r="C58">
        <v>20.8553886227887</v>
      </c>
      <c r="D58">
        <v>4.19197814815739</v>
      </c>
      <c r="E58">
        <v>12.6894749161053</v>
      </c>
      <c r="F58">
        <v>11.4808076136166</v>
      </c>
      <c r="G58">
        <v>9.04174016525114</v>
      </c>
      <c r="H58">
        <v>17.0838223325696</v>
      </c>
      <c r="I58">
        <v>2.90994447737891</v>
      </c>
      <c r="J58">
        <v>2.74248825375011</v>
      </c>
      <c r="K58">
        <v>1.52975896375527</v>
      </c>
      <c r="L58">
        <v>3.75773426468178</v>
      </c>
      <c r="M58">
        <v>16.2468757389435</v>
      </c>
      <c r="N58">
        <v>86.3541678717222</v>
      </c>
      <c r="O58">
        <v>72.4425396518225</v>
      </c>
      <c r="P58">
        <v>19.9008434080791</v>
      </c>
      <c r="Q58">
        <v>16.5135128463914</v>
      </c>
      <c r="R58">
        <v>5.09955820811695</v>
      </c>
      <c r="S58">
        <v>5.08465881275764</v>
      </c>
      <c r="T58">
        <v>8.23160555757072</v>
      </c>
      <c r="U58">
        <v>2.31514061654404</v>
      </c>
      <c r="V58">
        <v>2.6150569102661</v>
      </c>
      <c r="W58">
        <v>1.14585020579611</v>
      </c>
      <c r="X58">
        <v>0.858636218594505</v>
      </c>
      <c r="Y58">
        <v>145.441428272045</v>
      </c>
      <c r="Z58">
        <v>31.8464613705723</v>
      </c>
      <c r="AA58">
        <f t="shared" si="6"/>
        <v>188.8841813687205</v>
      </c>
      <c r="AB58">
        <f t="shared" si="7"/>
        <v>311.49529207855636</v>
      </c>
      <c r="AC58">
        <f t="shared" si="8"/>
        <v>-0.49007250383445206</v>
      </c>
      <c r="AD58" s="3">
        <f t="shared" si="9"/>
        <v>250.18973672363845</v>
      </c>
      <c r="AE58" s="3">
        <f>AD58/SUM($AD$57:$AD$61)*100</f>
        <v>27.03502075141356</v>
      </c>
      <c r="AL58" s="3">
        <f>(AD58*1000)/(Q_monthly_by_region!AA53/10000)</f>
        <v>7.474878373216851</v>
      </c>
      <c r="AM58" s="3"/>
      <c r="AS58" s="243" t="e">
        <f t="shared" si="4"/>
        <v>#DIV/0!</v>
      </c>
      <c r="AW58" s="7"/>
    </row>
    <row r="59" spans="1:49" ht="15.75" hidden="1" thickTop="1">
      <c r="A59" t="s">
        <v>790</v>
      </c>
      <c r="B59" t="s">
        <v>254</v>
      </c>
      <c r="C59">
        <v>26.0710241161958</v>
      </c>
      <c r="D59">
        <v>7.88143696807692</v>
      </c>
      <c r="E59">
        <v>15.3760870094253</v>
      </c>
      <c r="F59">
        <v>16.3185135512851</v>
      </c>
      <c r="G59">
        <v>8.92247523266891</v>
      </c>
      <c r="H59">
        <v>8.20647512149756</v>
      </c>
      <c r="I59">
        <v>4.85609815403889</v>
      </c>
      <c r="J59">
        <v>1.90464310275371</v>
      </c>
      <c r="K59">
        <v>1.94427609466716</v>
      </c>
      <c r="L59">
        <v>2.871778461889</v>
      </c>
      <c r="M59">
        <v>10.1755252703212</v>
      </c>
      <c r="N59">
        <v>38.1073504339777</v>
      </c>
      <c r="O59">
        <v>31.6120691262444</v>
      </c>
      <c r="P59">
        <v>13.1439892744512</v>
      </c>
      <c r="Q59">
        <v>6.2645165053479</v>
      </c>
      <c r="R59">
        <v>4.57370400132934</v>
      </c>
      <c r="S59">
        <v>3.46239624376475</v>
      </c>
      <c r="T59">
        <v>2.45085227222958</v>
      </c>
      <c r="U59">
        <v>1.74355973123729</v>
      </c>
      <c r="V59">
        <v>1.50568843577305</v>
      </c>
      <c r="W59">
        <v>1.13792430961766</v>
      </c>
      <c r="X59">
        <v>1.30595336498995</v>
      </c>
      <c r="Y59">
        <v>26.3709491275324</v>
      </c>
      <c r="Z59">
        <v>40.121219617879</v>
      </c>
      <c r="AA59">
        <f t="shared" si="6"/>
        <v>142.63568351679726</v>
      </c>
      <c r="AB59">
        <f t="shared" si="7"/>
        <v>133.69282201039653</v>
      </c>
      <c r="AC59">
        <f t="shared" si="8"/>
        <v>0.06472630457968193</v>
      </c>
      <c r="AD59" s="3">
        <f t="shared" si="9"/>
        <v>138.16425276359686</v>
      </c>
      <c r="AE59" s="3">
        <f>AD59/SUM($AD$57:$AD$61)*100</f>
        <v>14.92976286510666</v>
      </c>
      <c r="AL59" s="3">
        <f>(AD59*1000)/(Q_monthly_by_region!AA54/10000)</f>
        <v>2.391303912283983</v>
      </c>
      <c r="AM59" s="3"/>
      <c r="AS59" s="243" t="e">
        <f t="shared" si="4"/>
        <v>#DIV/0!</v>
      </c>
      <c r="AW59" s="7"/>
    </row>
    <row r="60" spans="1:49" ht="15.75" hidden="1" thickTop="1">
      <c r="A60" t="s">
        <v>790</v>
      </c>
      <c r="B60" t="s">
        <v>255</v>
      </c>
      <c r="C60">
        <v>56.5182578954093</v>
      </c>
      <c r="D60">
        <v>13.3051389943034</v>
      </c>
      <c r="E60">
        <v>25.4710777183145</v>
      </c>
      <c r="F60">
        <v>30.3097964915408</v>
      </c>
      <c r="G60">
        <v>16.8895250905612</v>
      </c>
      <c r="H60">
        <v>15.797401645669</v>
      </c>
      <c r="I60">
        <v>8.39714530931329</v>
      </c>
      <c r="J60">
        <v>3.57486971515199</v>
      </c>
      <c r="K60">
        <v>3.12626699238581</v>
      </c>
      <c r="L60">
        <v>4.54535734263511</v>
      </c>
      <c r="M60">
        <v>19.0612620581799</v>
      </c>
      <c r="N60">
        <v>58.2816923450524</v>
      </c>
      <c r="O60">
        <v>42.6125327191513</v>
      </c>
      <c r="P60">
        <v>19.7972455943617</v>
      </c>
      <c r="Q60">
        <v>9.41629796460898</v>
      </c>
      <c r="R60">
        <v>8.32517005622465</v>
      </c>
      <c r="S60">
        <v>4.95004652109968</v>
      </c>
      <c r="T60">
        <v>5.5100995053015</v>
      </c>
      <c r="U60">
        <v>2.81421330541833</v>
      </c>
      <c r="V60">
        <v>3.11969702272649</v>
      </c>
      <c r="W60">
        <v>1.74287513734645</v>
      </c>
      <c r="X60">
        <v>1.82528691349854</v>
      </c>
      <c r="Y60">
        <v>25.7664080052051</v>
      </c>
      <c r="Z60">
        <v>55.1832588597827</v>
      </c>
      <c r="AA60">
        <f t="shared" si="6"/>
        <v>255.27779159851664</v>
      </c>
      <c r="AB60">
        <f t="shared" si="7"/>
        <v>181.0631316047254</v>
      </c>
      <c r="AC60">
        <f t="shared" si="8"/>
        <v>0.34016823106561095</v>
      </c>
      <c r="AD60" s="3">
        <f t="shared" si="9"/>
        <v>218.17046160162104</v>
      </c>
      <c r="AE60" s="3">
        <f>AD60/SUM($AD$57:$AD$61)*100</f>
        <v>23.575079593534827</v>
      </c>
      <c r="AL60" s="3">
        <f>(AD60*1000)/(Q_monthly_by_region!AA55/10000)</f>
        <v>3.5328199843880417</v>
      </c>
      <c r="AM60" s="3"/>
      <c r="AS60" s="243" t="e">
        <f t="shared" si="4"/>
        <v>#DIV/0!</v>
      </c>
      <c r="AW60" s="7"/>
    </row>
    <row r="61" spans="1:49" ht="15.75" hidden="1" thickTop="1">
      <c r="A61" t="s">
        <v>790</v>
      </c>
      <c r="B61" t="s">
        <v>256</v>
      </c>
      <c r="C61">
        <v>22.4204658874056</v>
      </c>
      <c r="D61">
        <v>5.93209657494848</v>
      </c>
      <c r="E61">
        <v>19.038701115202</v>
      </c>
      <c r="F61">
        <v>26.4034917963403</v>
      </c>
      <c r="G61">
        <v>17.7866070527646</v>
      </c>
      <c r="H61">
        <v>9.02830987672236</v>
      </c>
      <c r="I61">
        <v>5.88949266415501</v>
      </c>
      <c r="J61">
        <v>3.02322834192042</v>
      </c>
      <c r="K61">
        <v>3.39890373152251</v>
      </c>
      <c r="L61">
        <v>5.26518854239528</v>
      </c>
      <c r="M61">
        <v>16.8976509956465</v>
      </c>
      <c r="N61">
        <v>73.8088915386728</v>
      </c>
      <c r="O61">
        <v>54.7513130359502</v>
      </c>
      <c r="P61">
        <v>24.1118537663862</v>
      </c>
      <c r="Q61">
        <v>22.654719668125</v>
      </c>
      <c r="R61">
        <v>16.9979735898726</v>
      </c>
      <c r="S61">
        <v>36.3806026299652</v>
      </c>
      <c r="T61">
        <v>9.97092938974359</v>
      </c>
      <c r="U61">
        <v>8.85332113184667</v>
      </c>
      <c r="V61">
        <v>3.5939192664849</v>
      </c>
      <c r="W61">
        <v>2.49105351570627</v>
      </c>
      <c r="X61">
        <v>2.63869985770316</v>
      </c>
      <c r="Y61">
        <v>89.9913351680477</v>
      </c>
      <c r="Z61">
        <v>23.3160416455776</v>
      </c>
      <c r="AA61">
        <f t="shared" si="6"/>
        <v>208.89302811769585</v>
      </c>
      <c r="AB61">
        <f t="shared" si="7"/>
        <v>295.75176266540905</v>
      </c>
      <c r="AC61">
        <f t="shared" si="8"/>
        <v>-0.3442371193921424</v>
      </c>
      <c r="AD61" s="3">
        <f t="shared" si="9"/>
        <v>252.32239539155245</v>
      </c>
      <c r="AE61" s="3">
        <f>AD61/SUM($AD$57:$AD$61)*100</f>
        <v>27.265471736724855</v>
      </c>
      <c r="AL61" s="3">
        <f>(AD61*1000)/(Q_monthly_by_region!AA56/10000)</f>
        <v>2.5618037391680013</v>
      </c>
      <c r="AM61" s="3"/>
      <c r="AS61" s="243" t="e">
        <f t="shared" si="4"/>
        <v>#DIV/0!</v>
      </c>
      <c r="AW61" s="7"/>
    </row>
    <row r="62" spans="1:49" ht="15.75" hidden="1" thickTop="1">
      <c r="A62" t="s">
        <v>791</v>
      </c>
      <c r="B62" t="s">
        <v>253</v>
      </c>
      <c r="C62">
        <v>196.842313885731</v>
      </c>
      <c r="D62">
        <v>31.1180627027171</v>
      </c>
      <c r="E62">
        <v>20.712847521113</v>
      </c>
      <c r="F62">
        <v>53.5422497459624</v>
      </c>
      <c r="G62">
        <v>57.911180833291</v>
      </c>
      <c r="H62">
        <v>27.3859539450618</v>
      </c>
      <c r="I62">
        <v>21.2516530261508</v>
      </c>
      <c r="J62">
        <v>11.8684493950528</v>
      </c>
      <c r="K62">
        <v>60.471766275129</v>
      </c>
      <c r="L62">
        <v>61.9890214187089</v>
      </c>
      <c r="M62">
        <v>75.2073330949377</v>
      </c>
      <c r="N62">
        <v>158.812147677758</v>
      </c>
      <c r="O62">
        <v>182.509791307053</v>
      </c>
      <c r="P62">
        <v>115.964720764982</v>
      </c>
      <c r="Q62">
        <v>108.473950438488</v>
      </c>
      <c r="R62">
        <v>55.1875155538588</v>
      </c>
      <c r="S62">
        <v>6.30831655991043</v>
      </c>
      <c r="T62">
        <v>71.3607536195042</v>
      </c>
      <c r="U62">
        <v>20.2100190500699</v>
      </c>
      <c r="V62">
        <v>6.71030080190209</v>
      </c>
      <c r="W62">
        <v>5.03327462381089</v>
      </c>
      <c r="X62">
        <v>3.51320595485894</v>
      </c>
      <c r="Y62">
        <v>60.5983061312209</v>
      </c>
      <c r="Z62">
        <v>103.994453698945</v>
      </c>
      <c r="AA62">
        <f t="shared" si="6"/>
        <v>777.1129795216134</v>
      </c>
      <c r="AB62">
        <f t="shared" si="7"/>
        <v>739.8646085046042</v>
      </c>
      <c r="AC62">
        <f t="shared" si="8"/>
        <v>0.04910866358345357</v>
      </c>
      <c r="AD62" s="3">
        <f t="shared" si="9"/>
        <v>758.4887940131086</v>
      </c>
      <c r="AE62" s="3">
        <f>AD62/SUM($AD$62:$AD$66)*100</f>
        <v>10.86664110366976</v>
      </c>
      <c r="AL62" s="3">
        <f>(AD62*1000)/(Q_monthly_by_region!AA57/10000)</f>
        <v>29.91818405627576</v>
      </c>
      <c r="AM62" s="3"/>
      <c r="AS62" s="243" t="e">
        <f t="shared" si="4"/>
        <v>#DIV/0!</v>
      </c>
      <c r="AW62" s="7"/>
    </row>
    <row r="63" spans="1:49" ht="15.75" hidden="1" thickTop="1">
      <c r="A63" t="s">
        <v>791</v>
      </c>
      <c r="B63" t="s">
        <v>149</v>
      </c>
      <c r="C63">
        <v>105.543792012929</v>
      </c>
      <c r="D63">
        <v>23.5341381460882</v>
      </c>
      <c r="E63">
        <v>64.0555991715792</v>
      </c>
      <c r="F63">
        <v>71.8290396787022</v>
      </c>
      <c r="G63">
        <v>51.6243090987676</v>
      </c>
      <c r="H63">
        <v>162.765293202295</v>
      </c>
      <c r="I63">
        <v>21.2099054312483</v>
      </c>
      <c r="J63">
        <v>19.4475842314483</v>
      </c>
      <c r="K63">
        <v>8.33067714425472</v>
      </c>
      <c r="L63">
        <v>24.5878436015815</v>
      </c>
      <c r="M63">
        <v>74.4379470243962</v>
      </c>
      <c r="N63">
        <v>541.511643479966</v>
      </c>
      <c r="O63">
        <v>333.444082034341</v>
      </c>
      <c r="P63">
        <v>99.9220462473399</v>
      </c>
      <c r="Q63">
        <v>78.5523780862062</v>
      </c>
      <c r="R63">
        <v>43.6816342820017</v>
      </c>
      <c r="S63">
        <v>41.3676460405919</v>
      </c>
      <c r="T63">
        <v>48.7936624062973</v>
      </c>
      <c r="U63">
        <v>11.0886013271447</v>
      </c>
      <c r="V63">
        <v>20.8930665436641</v>
      </c>
      <c r="W63">
        <v>7.88759508311149</v>
      </c>
      <c r="X63">
        <v>6.27112908740154</v>
      </c>
      <c r="Y63">
        <v>1630.87701093753</v>
      </c>
      <c r="Z63">
        <v>129.99529808762</v>
      </c>
      <c r="AA63">
        <f t="shared" si="6"/>
        <v>1168.8777722232562</v>
      </c>
      <c r="AB63">
        <f t="shared" si="7"/>
        <v>2452.77415016325</v>
      </c>
      <c r="AC63">
        <f t="shared" si="8"/>
        <v>-0.7090114707069715</v>
      </c>
      <c r="AD63" s="3">
        <f t="shared" si="9"/>
        <v>1810.8259611932533</v>
      </c>
      <c r="AE63" s="3">
        <f>AD63/SUM($AD$62:$AD$66)*100</f>
        <v>25.94315957837978</v>
      </c>
      <c r="AL63" s="3">
        <f>(AD63*1000)/(Q_monthly_by_region!AA58/10000)</f>
        <v>54.10175490106019</v>
      </c>
      <c r="AM63" s="3"/>
      <c r="AS63" s="243" t="e">
        <f t="shared" si="4"/>
        <v>#DIV/0!</v>
      </c>
      <c r="AW63" s="7"/>
    </row>
    <row r="64" spans="1:49" ht="15.75" hidden="1" thickTop="1">
      <c r="A64" t="s">
        <v>791</v>
      </c>
      <c r="B64" t="s">
        <v>254</v>
      </c>
      <c r="C64">
        <v>178.305639686035</v>
      </c>
      <c r="D64">
        <v>44.6932594936762</v>
      </c>
      <c r="E64">
        <v>102.063661650572</v>
      </c>
      <c r="F64">
        <v>140.861183254599</v>
      </c>
      <c r="G64">
        <v>75.0666640630306</v>
      </c>
      <c r="H64">
        <v>58.1948051893499</v>
      </c>
      <c r="I64">
        <v>33.2111407400558</v>
      </c>
      <c r="J64">
        <v>13.7628403427457</v>
      </c>
      <c r="K64">
        <v>13.4178363991985</v>
      </c>
      <c r="L64">
        <v>22.5376785932471</v>
      </c>
      <c r="M64">
        <v>56.1845896683204</v>
      </c>
      <c r="N64">
        <v>290.625947253545</v>
      </c>
      <c r="O64">
        <v>241.8374421822</v>
      </c>
      <c r="P64">
        <v>82.2398605352684</v>
      </c>
      <c r="Q64">
        <v>53.3472430742806</v>
      </c>
      <c r="R64">
        <v>36.9131665645218</v>
      </c>
      <c r="S64">
        <v>25.7912535600694</v>
      </c>
      <c r="T64">
        <v>25.3899779833536</v>
      </c>
      <c r="U64">
        <v>12.5371840686928</v>
      </c>
      <c r="V64">
        <v>10.9591594191738</v>
      </c>
      <c r="W64">
        <v>9.26218219381335</v>
      </c>
      <c r="X64">
        <v>9.75464729746501</v>
      </c>
      <c r="Y64">
        <v>251.207575864014</v>
      </c>
      <c r="Z64">
        <v>407.560062337459</v>
      </c>
      <c r="AA64">
        <f t="shared" si="6"/>
        <v>1028.9252463343753</v>
      </c>
      <c r="AB64">
        <f t="shared" si="7"/>
        <v>1166.7997550803118</v>
      </c>
      <c r="AC64">
        <f t="shared" si="8"/>
        <v>-0.12558449592467646</v>
      </c>
      <c r="AD64" s="3">
        <f t="shared" si="9"/>
        <v>1097.8625007073435</v>
      </c>
      <c r="AE64" s="3">
        <f>AD64/SUM($AD$62:$AD$66)*100</f>
        <v>15.72874625245671</v>
      </c>
      <c r="AL64" s="3">
        <f>(AD64*1000)/(Q_monthly_by_region!AA59/10000)</f>
        <v>19.001462683573827</v>
      </c>
      <c r="AM64" s="3"/>
      <c r="AS64" s="243" t="e">
        <f t="shared" si="4"/>
        <v>#DIV/0!</v>
      </c>
      <c r="AW64" s="7"/>
    </row>
    <row r="65" spans="1:49" ht="15.75" hidden="1" thickTop="1">
      <c r="A65" t="s">
        <v>791</v>
      </c>
      <c r="B65" t="s">
        <v>255</v>
      </c>
      <c r="C65">
        <v>316.87768243992</v>
      </c>
      <c r="D65">
        <v>58.138045206989</v>
      </c>
      <c r="E65">
        <v>107.367507701602</v>
      </c>
      <c r="F65">
        <v>186.724421271225</v>
      </c>
      <c r="G65">
        <v>82.1646701547648</v>
      </c>
      <c r="H65">
        <v>51.2962585990173</v>
      </c>
      <c r="I65">
        <v>35.2609089781759</v>
      </c>
      <c r="J65">
        <v>12.5252638285501</v>
      </c>
      <c r="K65">
        <v>10.7015098795251</v>
      </c>
      <c r="L65">
        <v>20.5672744653569</v>
      </c>
      <c r="M65">
        <v>88.5637298627947</v>
      </c>
      <c r="N65">
        <v>387.697824125625</v>
      </c>
      <c r="O65">
        <v>272.440335178583</v>
      </c>
      <c r="P65">
        <v>73.5694031318858</v>
      </c>
      <c r="Q65">
        <v>46.4592814052549</v>
      </c>
      <c r="R65">
        <v>45.2171304234607</v>
      </c>
      <c r="S65">
        <v>19.4499183796174</v>
      </c>
      <c r="T65">
        <v>42.6944644387159</v>
      </c>
      <c r="U65">
        <v>12.2580238009279</v>
      </c>
      <c r="V65">
        <v>15.9177398932248</v>
      </c>
      <c r="W65">
        <v>5.9347583270399</v>
      </c>
      <c r="X65">
        <v>5.12252233192413</v>
      </c>
      <c r="Y65">
        <v>168.278895883286</v>
      </c>
      <c r="Z65">
        <v>352.17176194074</v>
      </c>
      <c r="AA65">
        <f t="shared" si="6"/>
        <v>1357.885096513546</v>
      </c>
      <c r="AB65">
        <f t="shared" si="7"/>
        <v>1059.5142351346603</v>
      </c>
      <c r="AC65">
        <f t="shared" si="8"/>
        <v>0.24685277063881164</v>
      </c>
      <c r="AD65" s="3">
        <f t="shared" si="9"/>
        <v>1208.699665824103</v>
      </c>
      <c r="AE65" s="3">
        <f>AD65/SUM($AD$62:$AD$66)*100</f>
        <v>17.316677021874504</v>
      </c>
      <c r="AL65" s="3">
        <f>(AD65*1000)/(Q_monthly_by_region!AA60/10000)</f>
        <v>19.57239446256372</v>
      </c>
      <c r="AM65" s="3"/>
      <c r="AS65" s="243" t="e">
        <f t="shared" si="4"/>
        <v>#DIV/0!</v>
      </c>
      <c r="AW65" s="7"/>
    </row>
    <row r="66" spans="1:49" ht="15.75" hidden="1" thickTop="1">
      <c r="A66" t="s">
        <v>791</v>
      </c>
      <c r="B66" t="s">
        <v>256</v>
      </c>
      <c r="C66">
        <v>183.171632530992</v>
      </c>
      <c r="D66">
        <v>63.117808454135</v>
      </c>
      <c r="E66">
        <v>118.758190345509</v>
      </c>
      <c r="F66">
        <v>181.866117262169</v>
      </c>
      <c r="G66">
        <v>184.855947255199</v>
      </c>
      <c r="H66">
        <v>95.2475979247196</v>
      </c>
      <c r="I66">
        <v>42.7063184099359</v>
      </c>
      <c r="J66">
        <v>26.5459117426932</v>
      </c>
      <c r="K66">
        <v>22.2313166829727</v>
      </c>
      <c r="L66">
        <v>44.1220951768284</v>
      </c>
      <c r="M66">
        <v>98.5288289886229</v>
      </c>
      <c r="N66">
        <v>485.614772094249</v>
      </c>
      <c r="O66">
        <v>455.715832290188</v>
      </c>
      <c r="P66">
        <v>136.229897868429</v>
      </c>
      <c r="Q66">
        <v>213.829449950346</v>
      </c>
      <c r="R66">
        <v>141.970544149955</v>
      </c>
      <c r="S66">
        <v>256.574676543941</v>
      </c>
      <c r="T66">
        <v>134.811594162513</v>
      </c>
      <c r="U66">
        <v>72.2821949404692</v>
      </c>
      <c r="V66">
        <v>31.7308635679213</v>
      </c>
      <c r="W66">
        <v>15.8176674358887</v>
      </c>
      <c r="X66">
        <v>18.6795152827895</v>
      </c>
      <c r="Y66">
        <v>889.458480625299</v>
      </c>
      <c r="Z66">
        <v>294.328196773803</v>
      </c>
      <c r="AA66">
        <f t="shared" si="6"/>
        <v>1546.7665368680257</v>
      </c>
      <c r="AB66">
        <f t="shared" si="7"/>
        <v>2661.428913591543</v>
      </c>
      <c r="AC66">
        <f t="shared" si="8"/>
        <v>-0.5297578925911283</v>
      </c>
      <c r="AD66" s="3">
        <f t="shared" si="9"/>
        <v>2104.097725229784</v>
      </c>
      <c r="AE66" s="3">
        <f>AD66/SUM($AD$62:$AD$66)*100</f>
        <v>30.14477604361925</v>
      </c>
      <c r="AL66" s="3">
        <f>(AD66*1000)/(Q_monthly_by_region!AA61/10000)</f>
        <v>21.3626912177333</v>
      </c>
      <c r="AM66" s="3"/>
      <c r="AS66" s="243" t="e">
        <f t="shared" si="4"/>
        <v>#DIV/0!</v>
      </c>
      <c r="AW66" s="7"/>
    </row>
    <row r="67" spans="1:49" ht="15.75" hidden="1" thickTop="1">
      <c r="A67" t="s">
        <v>761</v>
      </c>
      <c r="B67" t="s">
        <v>253</v>
      </c>
      <c r="C67">
        <f aca="true" t="shared" si="10" ref="C67:Z67">C32+C27+C18</f>
        <v>3.438355036391588</v>
      </c>
      <c r="D67">
        <f t="shared" si="10"/>
        <v>0.398059302665946</v>
      </c>
      <c r="E67">
        <f t="shared" si="10"/>
        <v>0.763263862810581</v>
      </c>
      <c r="F67">
        <f t="shared" si="10"/>
        <v>2.07236991947332</v>
      </c>
      <c r="G67">
        <f t="shared" si="10"/>
        <v>1.764828100537395</v>
      </c>
      <c r="H67">
        <f t="shared" si="10"/>
        <v>0.40495176670197597</v>
      </c>
      <c r="I67">
        <f t="shared" si="10"/>
        <v>0.333975556361382</v>
      </c>
      <c r="J67">
        <f t="shared" si="10"/>
        <v>0.201458848044761</v>
      </c>
      <c r="K67">
        <f t="shared" si="10"/>
        <v>0.8709242004482</v>
      </c>
      <c r="L67">
        <f t="shared" si="10"/>
        <v>1.609130039501635</v>
      </c>
      <c r="M67">
        <f t="shared" si="10"/>
        <v>2.926927896976455</v>
      </c>
      <c r="N67">
        <f t="shared" si="10"/>
        <v>3.346962112791713</v>
      </c>
      <c r="O67">
        <f t="shared" si="10"/>
        <v>6.459959869620798</v>
      </c>
      <c r="P67">
        <f t="shared" si="10"/>
        <v>3.3941541592228166</v>
      </c>
      <c r="Q67">
        <f t="shared" si="10"/>
        <v>2.006167793011756</v>
      </c>
      <c r="R67">
        <f t="shared" si="10"/>
        <v>1.392599410146307</v>
      </c>
      <c r="S67">
        <f t="shared" si="10"/>
        <v>0.094961350384863</v>
      </c>
      <c r="T67">
        <f t="shared" si="10"/>
        <v>0.940076706685051</v>
      </c>
      <c r="U67">
        <f t="shared" si="10"/>
        <v>0.058391286770335005</v>
      </c>
      <c r="V67">
        <f t="shared" si="10"/>
        <v>0.040220085678848994</v>
      </c>
      <c r="W67">
        <f t="shared" si="10"/>
        <v>0.022848501227501</v>
      </c>
      <c r="X67">
        <f t="shared" si="10"/>
        <v>0.082401786359733</v>
      </c>
      <c r="Y67">
        <f t="shared" si="10"/>
        <v>2.7431942846158823</v>
      </c>
      <c r="Z67">
        <f t="shared" si="10"/>
        <v>4.931584763576674</v>
      </c>
      <c r="AA67">
        <f t="shared" si="6"/>
        <v>18.13120664270495</v>
      </c>
      <c r="AB67">
        <f t="shared" si="7"/>
        <v>22.166559997300567</v>
      </c>
      <c r="AC67">
        <f t="shared" si="8"/>
        <v>-0.2002767741768364</v>
      </c>
      <c r="AD67" s="3">
        <f t="shared" si="9"/>
        <v>20.148883320002756</v>
      </c>
      <c r="AE67" s="3">
        <f>AD67/SUM($AD$67:$AD$71)*100</f>
        <v>4.059366739671179</v>
      </c>
      <c r="AL67" s="3">
        <f>(AD67*1000)/(Q_monthly_by_region!AA62/10000)</f>
        <v>0.7947619061143951</v>
      </c>
      <c r="AO67" t="s">
        <v>654</v>
      </c>
      <c r="AP67">
        <v>70.50437160632276</v>
      </c>
      <c r="AS67" s="243" t="str">
        <f t="shared" si="4"/>
        <v>0 MT  (0%)</v>
      </c>
      <c r="AW67" s="7"/>
    </row>
    <row r="68" spans="1:49" ht="15.75" hidden="1" thickTop="1">
      <c r="A68" t="s">
        <v>761</v>
      </c>
      <c r="B68" t="s">
        <v>149</v>
      </c>
      <c r="C68">
        <f aca="true" t="shared" si="11" ref="C68:Z68">C33+C28+C19</f>
        <v>15.715621128950879</v>
      </c>
      <c r="D68">
        <f t="shared" si="11"/>
        <v>2.802740038985183</v>
      </c>
      <c r="E68">
        <f t="shared" si="11"/>
        <v>8.052556740181156</v>
      </c>
      <c r="F68">
        <f t="shared" si="11"/>
        <v>5.58344998544937</v>
      </c>
      <c r="G68">
        <f t="shared" si="11"/>
        <v>4.709028560487444</v>
      </c>
      <c r="H68">
        <f t="shared" si="11"/>
        <v>1.077700018477018</v>
      </c>
      <c r="I68">
        <f t="shared" si="11"/>
        <v>1.138941592200917</v>
      </c>
      <c r="J68">
        <f t="shared" si="11"/>
        <v>0.6529725361959949</v>
      </c>
      <c r="K68">
        <f t="shared" si="11"/>
        <v>0.705166455458344</v>
      </c>
      <c r="L68">
        <f t="shared" si="11"/>
        <v>2.375464641217339</v>
      </c>
      <c r="M68">
        <f t="shared" si="11"/>
        <v>12.45081506634332</v>
      </c>
      <c r="N68">
        <f t="shared" si="11"/>
        <v>41.97185485961821</v>
      </c>
      <c r="O68">
        <f t="shared" si="11"/>
        <v>43.833592586703645</v>
      </c>
      <c r="P68">
        <f t="shared" si="11"/>
        <v>12.696721556210154</v>
      </c>
      <c r="Q68">
        <f t="shared" si="11"/>
        <v>1.526106041876453</v>
      </c>
      <c r="R68">
        <f t="shared" si="11"/>
        <v>3.4034007267974107</v>
      </c>
      <c r="S68">
        <f t="shared" si="11"/>
        <v>2.617846401525258</v>
      </c>
      <c r="T68">
        <f t="shared" si="11"/>
        <v>1.154639961403708</v>
      </c>
      <c r="U68">
        <f t="shared" si="11"/>
        <v>0.85964593402402</v>
      </c>
      <c r="V68">
        <f t="shared" si="11"/>
        <v>0.81310263487465</v>
      </c>
      <c r="W68">
        <f t="shared" si="11"/>
        <v>0.44347754731708</v>
      </c>
      <c r="X68">
        <f t="shared" si="11"/>
        <v>0.570157300560743</v>
      </c>
      <c r="Y68">
        <f t="shared" si="11"/>
        <v>34.462005173123316</v>
      </c>
      <c r="Z68">
        <f t="shared" si="11"/>
        <v>23.331683976591272</v>
      </c>
      <c r="AA68">
        <f t="shared" si="6"/>
        <v>97.23631162356517</v>
      </c>
      <c r="AB68">
        <f t="shared" si="7"/>
        <v>125.71237984100767</v>
      </c>
      <c r="AC68">
        <f t="shared" si="8"/>
        <v>-0.2554495209671811</v>
      </c>
      <c r="AD68" s="3">
        <f t="shared" si="9"/>
        <v>111.47434573228645</v>
      </c>
      <c r="AE68" s="3">
        <f>AD68/SUM($AD$67:$AD$71)*100</f>
        <v>22.4585771928619</v>
      </c>
      <c r="AL68" s="3">
        <f>(AD68*1000)/(Q_monthly_by_region!AA63/10000)</f>
        <v>3.3305010309163423</v>
      </c>
      <c r="AO68" t="s">
        <v>655</v>
      </c>
      <c r="AP68">
        <v>5.414482415981582</v>
      </c>
      <c r="AS68" s="243" t="str">
        <f t="shared" si="4"/>
        <v>0 MT  (0%)</v>
      </c>
      <c r="AW68" s="7"/>
    </row>
    <row r="69" spans="1:45" ht="15.75" hidden="1" thickTop="1">
      <c r="A69" t="s">
        <v>761</v>
      </c>
      <c r="B69" t="s">
        <v>254</v>
      </c>
      <c r="C69">
        <f aca="true" t="shared" si="12" ref="C69:Z69">C34+C29+C20</f>
        <v>19.46608312231118</v>
      </c>
      <c r="D69">
        <f t="shared" si="12"/>
        <v>5.770517349083156</v>
      </c>
      <c r="E69">
        <f t="shared" si="12"/>
        <v>10.64804679224077</v>
      </c>
      <c r="F69">
        <f t="shared" si="12"/>
        <v>9.666609422603743</v>
      </c>
      <c r="G69">
        <f t="shared" si="12"/>
        <v>4.106869222416636</v>
      </c>
      <c r="H69">
        <f t="shared" si="12"/>
        <v>2.762930570784733</v>
      </c>
      <c r="I69">
        <f t="shared" si="12"/>
        <v>2.543657650557916</v>
      </c>
      <c r="J69">
        <f t="shared" si="12"/>
        <v>1.02296918852908</v>
      </c>
      <c r="K69">
        <f t="shared" si="12"/>
        <v>0.878593490037234</v>
      </c>
      <c r="L69">
        <f t="shared" si="12"/>
        <v>1.569360520250139</v>
      </c>
      <c r="M69">
        <f t="shared" si="12"/>
        <v>7.7036059815679785</v>
      </c>
      <c r="N69">
        <f t="shared" si="12"/>
        <v>26.768860576171</v>
      </c>
      <c r="O69">
        <f t="shared" si="12"/>
        <v>22.115552414980698</v>
      </c>
      <c r="P69">
        <f t="shared" si="12"/>
        <v>9.05443219232131</v>
      </c>
      <c r="Q69">
        <f t="shared" si="12"/>
        <v>3.0800033881243674</v>
      </c>
      <c r="R69">
        <f t="shared" si="12"/>
        <v>2.890990307705586</v>
      </c>
      <c r="S69">
        <f t="shared" si="12"/>
        <v>1.898569406294145</v>
      </c>
      <c r="T69">
        <f t="shared" si="12"/>
        <v>1.3286798341963</v>
      </c>
      <c r="U69">
        <f t="shared" si="12"/>
        <v>0.974001497154422</v>
      </c>
      <c r="V69">
        <f t="shared" si="12"/>
        <v>0.8197655692174081</v>
      </c>
      <c r="W69">
        <f t="shared" si="12"/>
        <v>0.648710954607533</v>
      </c>
      <c r="X69">
        <f t="shared" si="12"/>
        <v>0.963455501066766</v>
      </c>
      <c r="Y69">
        <f t="shared" si="12"/>
        <v>17.340854333866076</v>
      </c>
      <c r="Z69">
        <f t="shared" si="12"/>
        <v>29.093820033604853</v>
      </c>
      <c r="AA69">
        <f t="shared" si="6"/>
        <v>92.90810388655356</v>
      </c>
      <c r="AB69">
        <f t="shared" si="7"/>
        <v>90.20883543313947</v>
      </c>
      <c r="AC69">
        <f t="shared" si="8"/>
        <v>0.029481362712180322</v>
      </c>
      <c r="AD69" s="3">
        <f t="shared" si="9"/>
        <v>91.55846965984651</v>
      </c>
      <c r="AE69" s="3">
        <f>AD69/SUM($AD$67:$AD$71)*100</f>
        <v>18.446154090504844</v>
      </c>
      <c r="AL69" s="3">
        <f>(AD69*1000)/(Q_monthly_by_region!AA64/10000)</f>
        <v>1.58466551456653</v>
      </c>
      <c r="AP69" s="7">
        <f>AP68+AP67+AP28</f>
        <v>572.2741875548168</v>
      </c>
      <c r="AQ69" s="7"/>
      <c r="AR69" s="7"/>
      <c r="AS69" s="243" t="str">
        <f t="shared" si="4"/>
        <v>0 MT  (0%)</v>
      </c>
    </row>
    <row r="70" spans="1:45" ht="15.75" hidden="1" thickTop="1">
      <c r="A70" t="s">
        <v>761</v>
      </c>
      <c r="B70" t="s">
        <v>255</v>
      </c>
      <c r="C70">
        <f aca="true" t="shared" si="13" ref="C70:Z70">C35+C30+C25</f>
        <v>41.76176328063786</v>
      </c>
      <c r="D70">
        <f t="shared" si="13"/>
        <v>10.504464280672545</v>
      </c>
      <c r="E70">
        <f t="shared" si="13"/>
        <v>18.514457030151263</v>
      </c>
      <c r="F70">
        <f t="shared" si="13"/>
        <v>19.67874685445796</v>
      </c>
      <c r="G70">
        <f t="shared" si="13"/>
        <v>10.145471939650061</v>
      </c>
      <c r="H70">
        <f t="shared" si="13"/>
        <v>8.136163841934465</v>
      </c>
      <c r="I70">
        <f t="shared" si="13"/>
        <v>6.557955325100798</v>
      </c>
      <c r="J70">
        <f t="shared" si="13"/>
        <v>2.53883643710385</v>
      </c>
      <c r="K70">
        <f t="shared" si="13"/>
        <v>2.142816744177297</v>
      </c>
      <c r="L70">
        <f t="shared" si="13"/>
        <v>3.2033639932247953</v>
      </c>
      <c r="M70">
        <f t="shared" si="13"/>
        <v>15.181891970327225</v>
      </c>
      <c r="N70">
        <f t="shared" si="13"/>
        <v>29.288027864311424</v>
      </c>
      <c r="O70">
        <f t="shared" si="13"/>
        <v>31.703912605091936</v>
      </c>
      <c r="P70">
        <f t="shared" si="13"/>
        <v>15.89235753682858</v>
      </c>
      <c r="Q70">
        <f t="shared" si="13"/>
        <v>7.102229722744844</v>
      </c>
      <c r="R70">
        <f t="shared" si="13"/>
        <v>6.184160184276668</v>
      </c>
      <c r="S70">
        <f t="shared" si="13"/>
        <v>3.548769769078948</v>
      </c>
      <c r="T70">
        <f t="shared" si="13"/>
        <v>3.2182217667442528</v>
      </c>
      <c r="U70">
        <f t="shared" si="13"/>
        <v>2.2597573865557994</v>
      </c>
      <c r="V70">
        <f t="shared" si="13"/>
        <v>0.8277201212440151</v>
      </c>
      <c r="W70">
        <f t="shared" si="13"/>
        <v>1.304917440305472</v>
      </c>
      <c r="X70">
        <f t="shared" si="13"/>
        <v>1.574651592983487</v>
      </c>
      <c r="Y70">
        <f t="shared" si="13"/>
        <v>19.025692226081283</v>
      </c>
      <c r="Z70">
        <f t="shared" si="13"/>
        <v>38.92451985342355</v>
      </c>
      <c r="AA70">
        <f t="shared" si="6"/>
        <v>167.65395956174953</v>
      </c>
      <c r="AB70">
        <f t="shared" si="7"/>
        <v>131.56691020535885</v>
      </c>
      <c r="AC70">
        <f t="shared" si="8"/>
        <v>0.24120676732527513</v>
      </c>
      <c r="AD70" s="3">
        <f t="shared" si="9"/>
        <v>149.61043488355418</v>
      </c>
      <c r="AE70" s="3">
        <f>AD70/SUM($AD$67:$AD$71)*100</f>
        <v>30.141800596518486</v>
      </c>
      <c r="AL70" s="3">
        <f>(AD70*1000)/(Q_monthly_by_region!AA65/10000)</f>
        <v>2.42263196561747</v>
      </c>
      <c r="AP70">
        <f>SUM(AP67:AP68)/AP69</f>
        <v>0.1326616780440272</v>
      </c>
      <c r="AS70" s="243" t="str">
        <f t="shared" si="4"/>
        <v>0 MT  (0%)</v>
      </c>
    </row>
    <row r="71" spans="1:45" ht="15.75" hidden="1" thickTop="1">
      <c r="A71" t="s">
        <v>761</v>
      </c>
      <c r="B71" t="s">
        <v>256</v>
      </c>
      <c r="C71">
        <f aca="true" t="shared" si="14" ref="C71:Z71">C36+C31+C26</f>
        <v>13.935925115034953</v>
      </c>
      <c r="D71">
        <f t="shared" si="14"/>
        <v>3.981113219336873</v>
      </c>
      <c r="E71">
        <f t="shared" si="14"/>
        <v>10.451047135755456</v>
      </c>
      <c r="F71">
        <f t="shared" si="14"/>
        <v>10.44697924592954</v>
      </c>
      <c r="G71">
        <f t="shared" si="14"/>
        <v>7.2107527225006</v>
      </c>
      <c r="H71">
        <f t="shared" si="14"/>
        <v>3.2021352696816368</v>
      </c>
      <c r="I71">
        <f t="shared" si="14"/>
        <v>2.649499552120996</v>
      </c>
      <c r="J71">
        <f t="shared" si="14"/>
        <v>1.048184720337944</v>
      </c>
      <c r="K71">
        <f t="shared" si="14"/>
        <v>1.472675537032925</v>
      </c>
      <c r="L71">
        <f t="shared" si="14"/>
        <v>2.996884568469066</v>
      </c>
      <c r="M71">
        <f t="shared" si="14"/>
        <v>10.780658707017</v>
      </c>
      <c r="N71">
        <f t="shared" si="14"/>
        <v>39.89880297919716</v>
      </c>
      <c r="O71">
        <f t="shared" si="14"/>
        <v>38.68744127797019</v>
      </c>
      <c r="P71">
        <f t="shared" si="14"/>
        <v>14.69712136032356</v>
      </c>
      <c r="Q71">
        <f t="shared" si="14"/>
        <v>5.928020251363484</v>
      </c>
      <c r="R71">
        <f t="shared" si="14"/>
        <v>7.641002885031443</v>
      </c>
      <c r="S71">
        <f t="shared" si="14"/>
        <v>8.240661958424731</v>
      </c>
      <c r="T71">
        <f t="shared" si="14"/>
        <v>4.747421006458524</v>
      </c>
      <c r="U71">
        <f t="shared" si="14"/>
        <v>1.633316924667181</v>
      </c>
      <c r="V71">
        <f t="shared" si="14"/>
        <v>1.089694741602012</v>
      </c>
      <c r="W71">
        <f t="shared" si="14"/>
        <v>1.2932178236631588</v>
      </c>
      <c r="X71">
        <f t="shared" si="14"/>
        <v>1.858842865043433</v>
      </c>
      <c r="Y71">
        <f t="shared" si="14"/>
        <v>33.451024162086</v>
      </c>
      <c r="Z71">
        <f t="shared" si="14"/>
        <v>19.78397584459724</v>
      </c>
      <c r="AA71">
        <f t="shared" si="6"/>
        <v>108.07465877241414</v>
      </c>
      <c r="AB71">
        <f t="shared" si="7"/>
        <v>139.05174110123096</v>
      </c>
      <c r="AC71">
        <f>(AA71-AB71)/AD71</f>
        <v>-0.25069828512579223</v>
      </c>
      <c r="AD71" s="3">
        <f t="shared" si="9"/>
        <v>123.56319993682257</v>
      </c>
      <c r="AE71" s="3">
        <f>AD71/SUM($AD$67:$AD$71)*100</f>
        <v>24.89410138044359</v>
      </c>
      <c r="AL71" s="3">
        <f>(AD71*1000)/(Q_monthly_by_region!AA66/10000)</f>
        <v>1.2545246613187198</v>
      </c>
      <c r="AS71" s="243" t="e">
        <f t="shared" si="4"/>
        <v>#DIV/0!</v>
      </c>
    </row>
    <row r="72" spans="42:45" ht="15.75" hidden="1" thickTop="1">
      <c r="AP72" t="s">
        <v>656</v>
      </c>
      <c r="AS72" s="243" t="e">
        <f t="shared" si="4"/>
        <v>#VALUE!</v>
      </c>
    </row>
    <row r="73" spans="42:45" ht="15.75" hidden="1" thickTop="1">
      <c r="AP73" t="e">
        <f>#REF!+Q_monthly_by_region!AB8</f>
        <v>#REF!</v>
      </c>
      <c r="AS73" s="243" t="e">
        <f t="shared" si="4"/>
        <v>#REF!</v>
      </c>
    </row>
    <row r="74" ht="15.75" hidden="1" thickTop="1">
      <c r="AS74" s="243" t="e">
        <f t="shared" si="4"/>
        <v>#DIV/0!</v>
      </c>
    </row>
    <row r="75" ht="15.75" hidden="1" thickTop="1">
      <c r="AS75" s="243" t="e">
        <f t="shared" si="4"/>
        <v>#DIV/0!</v>
      </c>
    </row>
    <row r="76" ht="15.75" hidden="1" thickTop="1">
      <c r="AS76" s="243" t="e">
        <f t="shared" si="4"/>
        <v>#DIV/0!</v>
      </c>
    </row>
    <row r="77" ht="15.75" hidden="1" thickTop="1">
      <c r="AS77" s="243" t="e">
        <f t="shared" si="4"/>
        <v>#DIV/0!</v>
      </c>
    </row>
    <row r="78" ht="15.75" hidden="1" thickTop="1">
      <c r="AS78" s="243" t="e">
        <f t="shared" si="4"/>
        <v>#DIV/0!</v>
      </c>
    </row>
    <row r="79" ht="15.75" hidden="1" thickTop="1">
      <c r="AS79" s="243" t="e">
        <f t="shared" si="4"/>
        <v>#DIV/0!</v>
      </c>
    </row>
    <row r="80" ht="15.75" hidden="1" thickTop="1">
      <c r="AS80" s="243" t="e">
        <f t="shared" si="4"/>
        <v>#DIV/0!</v>
      </c>
    </row>
    <row r="81" ht="15.75" hidden="1" thickTop="1">
      <c r="AS81" s="243" t="e">
        <f t="shared" si="4"/>
        <v>#DIV/0!</v>
      </c>
    </row>
    <row r="82" ht="15.75" hidden="1" thickTop="1">
      <c r="AS82" s="243" t="e">
        <f t="shared" si="4"/>
        <v>#DIV/0!</v>
      </c>
    </row>
    <row r="83" ht="15.75" hidden="1" thickTop="1">
      <c r="AS83" s="243" t="e">
        <f t="shared" si="4"/>
        <v>#DIV/0!</v>
      </c>
    </row>
    <row r="84" ht="15.75" hidden="1" thickTop="1">
      <c r="AS84" s="243" t="e">
        <f t="shared" si="4"/>
        <v>#DIV/0!</v>
      </c>
    </row>
    <row r="85" ht="15.75" hidden="1" thickTop="1">
      <c r="AS85" s="243" t="e">
        <f t="shared" si="4"/>
        <v>#DIV/0!</v>
      </c>
    </row>
    <row r="86" ht="15.75" hidden="1" thickTop="1">
      <c r="AS86" s="243" t="e">
        <f t="shared" si="4"/>
        <v>#DIV/0!</v>
      </c>
    </row>
    <row r="87" ht="15.75" hidden="1" thickTop="1">
      <c r="AS87" s="243" t="e">
        <f t="shared" si="4"/>
        <v>#DIV/0!</v>
      </c>
    </row>
    <row r="88" ht="15.75" hidden="1" thickTop="1">
      <c r="AS88" s="243" t="e">
        <f aca="true" t="shared" si="15" ref="AS88:AS151">CONCATENATE(ROUND((AR88-AQ88),1)," MT  (",ROUND(100*(AR88-AQ88)/AP88,1),"%)")</f>
        <v>#DIV/0!</v>
      </c>
    </row>
    <row r="89" ht="15.75" hidden="1" thickTop="1">
      <c r="AS89" s="243" t="e">
        <f t="shared" si="15"/>
        <v>#DIV/0!</v>
      </c>
    </row>
    <row r="90" ht="15.75" hidden="1" thickTop="1">
      <c r="AS90" s="243" t="e">
        <f t="shared" si="15"/>
        <v>#DIV/0!</v>
      </c>
    </row>
    <row r="91" ht="15.75" hidden="1" thickTop="1">
      <c r="AS91" s="243" t="e">
        <f t="shared" si="15"/>
        <v>#DIV/0!</v>
      </c>
    </row>
    <row r="92" ht="15.75" hidden="1" thickTop="1">
      <c r="AS92" s="243" t="e">
        <f t="shared" si="15"/>
        <v>#DIV/0!</v>
      </c>
    </row>
    <row r="93" ht="15.75" hidden="1" thickTop="1">
      <c r="AS93" s="243" t="e">
        <f t="shared" si="15"/>
        <v>#DIV/0!</v>
      </c>
    </row>
    <row r="94" ht="15.75" hidden="1" thickTop="1">
      <c r="AS94" s="243" t="e">
        <f t="shared" si="15"/>
        <v>#DIV/0!</v>
      </c>
    </row>
    <row r="95" ht="15.75" hidden="1" thickTop="1">
      <c r="AS95" s="243" t="e">
        <f t="shared" si="15"/>
        <v>#DIV/0!</v>
      </c>
    </row>
    <row r="96" ht="15.75" hidden="1" thickTop="1">
      <c r="AS96" s="243" t="e">
        <f t="shared" si="15"/>
        <v>#DIV/0!</v>
      </c>
    </row>
    <row r="97" ht="15.75" hidden="1" thickTop="1">
      <c r="AS97" s="243" t="e">
        <f t="shared" si="15"/>
        <v>#DIV/0!</v>
      </c>
    </row>
    <row r="98" ht="15.75" hidden="1" thickTop="1">
      <c r="AS98" s="243" t="e">
        <f t="shared" si="15"/>
        <v>#DIV/0!</v>
      </c>
    </row>
    <row r="99" ht="15.75" hidden="1" thickTop="1">
      <c r="AS99" s="243" t="e">
        <f t="shared" si="15"/>
        <v>#DIV/0!</v>
      </c>
    </row>
    <row r="100" ht="15.75" hidden="1" thickTop="1">
      <c r="AS100" s="243" t="e">
        <f t="shared" si="15"/>
        <v>#DIV/0!</v>
      </c>
    </row>
    <row r="101" ht="15.75" hidden="1" thickTop="1">
      <c r="AS101" s="243" t="e">
        <f t="shared" si="15"/>
        <v>#DIV/0!</v>
      </c>
    </row>
    <row r="102" ht="15.75" hidden="1" thickTop="1">
      <c r="AS102" s="243" t="e">
        <f t="shared" si="15"/>
        <v>#DIV/0!</v>
      </c>
    </row>
    <row r="103" ht="15.75" hidden="1" thickTop="1">
      <c r="AS103" s="243" t="e">
        <f t="shared" si="15"/>
        <v>#DIV/0!</v>
      </c>
    </row>
    <row r="104" ht="15.75" hidden="1" thickTop="1">
      <c r="AS104" s="243" t="e">
        <f t="shared" si="15"/>
        <v>#DIV/0!</v>
      </c>
    </row>
    <row r="105" ht="15.75" hidden="1" thickTop="1">
      <c r="AS105" s="243" t="e">
        <f t="shared" si="15"/>
        <v>#DIV/0!</v>
      </c>
    </row>
    <row r="106" ht="15.75" hidden="1" thickTop="1">
      <c r="AS106" s="243" t="e">
        <f t="shared" si="15"/>
        <v>#DIV/0!</v>
      </c>
    </row>
    <row r="107" ht="15.75" hidden="1" thickTop="1">
      <c r="AS107" s="243" t="e">
        <f t="shared" si="15"/>
        <v>#DIV/0!</v>
      </c>
    </row>
    <row r="108" ht="15.75" hidden="1" thickTop="1">
      <c r="AS108" s="243" t="e">
        <f t="shared" si="15"/>
        <v>#DIV/0!</v>
      </c>
    </row>
    <row r="109" ht="15.75" hidden="1" thickTop="1">
      <c r="AS109" s="243" t="e">
        <f t="shared" si="15"/>
        <v>#DIV/0!</v>
      </c>
    </row>
    <row r="110" ht="15.75" hidden="1" thickTop="1">
      <c r="AS110" s="243" t="e">
        <f t="shared" si="15"/>
        <v>#DIV/0!</v>
      </c>
    </row>
    <row r="111" ht="15.75" hidden="1" thickTop="1">
      <c r="AS111" s="243" t="e">
        <f t="shared" si="15"/>
        <v>#DIV/0!</v>
      </c>
    </row>
    <row r="112" ht="15.75" hidden="1" thickTop="1">
      <c r="AS112" s="243" t="e">
        <f t="shared" si="15"/>
        <v>#DIV/0!</v>
      </c>
    </row>
    <row r="113" ht="15.75" hidden="1" thickTop="1">
      <c r="AS113" s="243" t="e">
        <f t="shared" si="15"/>
        <v>#DIV/0!</v>
      </c>
    </row>
    <row r="114" ht="15.75" hidden="1" thickTop="1">
      <c r="AS114" s="243" t="e">
        <f t="shared" si="15"/>
        <v>#DIV/0!</v>
      </c>
    </row>
    <row r="115" ht="15.75" hidden="1" thickTop="1">
      <c r="AS115" s="243" t="e">
        <f t="shared" si="15"/>
        <v>#DIV/0!</v>
      </c>
    </row>
    <row r="116" ht="15.75" hidden="1" thickTop="1">
      <c r="AS116" s="243" t="e">
        <f t="shared" si="15"/>
        <v>#DIV/0!</v>
      </c>
    </row>
    <row r="117" ht="15.75" hidden="1" thickTop="1">
      <c r="AS117" s="243" t="e">
        <f t="shared" si="15"/>
        <v>#DIV/0!</v>
      </c>
    </row>
    <row r="118" ht="15.75" hidden="1" thickTop="1">
      <c r="AS118" s="243" t="e">
        <f t="shared" si="15"/>
        <v>#DIV/0!</v>
      </c>
    </row>
    <row r="119" ht="15.75" hidden="1" thickTop="1">
      <c r="AS119" s="243" t="e">
        <f t="shared" si="15"/>
        <v>#DIV/0!</v>
      </c>
    </row>
    <row r="120" ht="15.75" hidden="1" thickTop="1">
      <c r="AS120" s="243" t="e">
        <f t="shared" si="15"/>
        <v>#DIV/0!</v>
      </c>
    </row>
    <row r="121" ht="15.75" hidden="1" thickTop="1">
      <c r="AS121" s="243" t="e">
        <f t="shared" si="15"/>
        <v>#DIV/0!</v>
      </c>
    </row>
    <row r="122" ht="15.75" hidden="1" thickTop="1">
      <c r="AS122" s="243" t="e">
        <f t="shared" si="15"/>
        <v>#DIV/0!</v>
      </c>
    </row>
    <row r="123" ht="15.75" hidden="1" thickTop="1">
      <c r="AS123" s="243" t="e">
        <f t="shared" si="15"/>
        <v>#DIV/0!</v>
      </c>
    </row>
    <row r="124" ht="15.75" hidden="1" thickTop="1">
      <c r="AS124" s="243" t="e">
        <f t="shared" si="15"/>
        <v>#DIV/0!</v>
      </c>
    </row>
    <row r="125" ht="15.75" hidden="1" thickTop="1">
      <c r="AS125" s="243" t="e">
        <f t="shared" si="15"/>
        <v>#DIV/0!</v>
      </c>
    </row>
    <row r="126" ht="15.75" hidden="1" thickTop="1">
      <c r="AS126" s="243" t="e">
        <f t="shared" si="15"/>
        <v>#DIV/0!</v>
      </c>
    </row>
    <row r="127" ht="15.75" hidden="1" thickTop="1">
      <c r="AS127" s="243" t="e">
        <f t="shared" si="15"/>
        <v>#DIV/0!</v>
      </c>
    </row>
    <row r="128" ht="15.75" hidden="1" thickTop="1">
      <c r="AS128" s="243" t="e">
        <f t="shared" si="15"/>
        <v>#DIV/0!</v>
      </c>
    </row>
    <row r="129" ht="15.75" hidden="1" thickTop="1">
      <c r="AS129" s="243" t="e">
        <f t="shared" si="15"/>
        <v>#DIV/0!</v>
      </c>
    </row>
    <row r="130" ht="15.75" hidden="1" thickTop="1">
      <c r="AS130" s="243" t="e">
        <f t="shared" si="15"/>
        <v>#DIV/0!</v>
      </c>
    </row>
    <row r="131" ht="15.75" hidden="1" thickTop="1">
      <c r="AS131" s="243" t="e">
        <f t="shared" si="15"/>
        <v>#DIV/0!</v>
      </c>
    </row>
    <row r="132" ht="15.75" hidden="1" thickTop="1">
      <c r="AS132" s="243" t="e">
        <f t="shared" si="15"/>
        <v>#DIV/0!</v>
      </c>
    </row>
    <row r="133" ht="15.75" hidden="1" thickTop="1">
      <c r="AS133" s="243" t="e">
        <f t="shared" si="15"/>
        <v>#DIV/0!</v>
      </c>
    </row>
    <row r="134" ht="15.75" hidden="1" thickTop="1">
      <c r="AS134" s="243" t="e">
        <f t="shared" si="15"/>
        <v>#DIV/0!</v>
      </c>
    </row>
    <row r="135" ht="15.75" hidden="1" thickTop="1">
      <c r="AS135" s="243" t="e">
        <f t="shared" si="15"/>
        <v>#DIV/0!</v>
      </c>
    </row>
    <row r="136" ht="15.75" hidden="1" thickTop="1">
      <c r="AS136" s="243" t="e">
        <f t="shared" si="15"/>
        <v>#DIV/0!</v>
      </c>
    </row>
    <row r="137" ht="15.75" hidden="1" thickTop="1">
      <c r="AS137" s="243" t="e">
        <f t="shared" si="15"/>
        <v>#DIV/0!</v>
      </c>
    </row>
    <row r="138" ht="15.75" hidden="1" thickTop="1">
      <c r="AS138" s="243" t="e">
        <f t="shared" si="15"/>
        <v>#DIV/0!</v>
      </c>
    </row>
    <row r="139" ht="15.75" hidden="1" thickTop="1">
      <c r="AS139" s="243" t="e">
        <f t="shared" si="15"/>
        <v>#DIV/0!</v>
      </c>
    </row>
    <row r="140" ht="15.75" hidden="1" thickTop="1">
      <c r="AS140" s="243" t="e">
        <f t="shared" si="15"/>
        <v>#DIV/0!</v>
      </c>
    </row>
    <row r="141" ht="15.75" hidden="1" thickTop="1">
      <c r="AS141" s="243" t="e">
        <f t="shared" si="15"/>
        <v>#DIV/0!</v>
      </c>
    </row>
    <row r="142" ht="15.75" hidden="1" thickTop="1">
      <c r="AS142" s="243" t="e">
        <f t="shared" si="15"/>
        <v>#DIV/0!</v>
      </c>
    </row>
    <row r="143" ht="15.75" hidden="1" thickTop="1">
      <c r="AS143" s="243" t="e">
        <f t="shared" si="15"/>
        <v>#DIV/0!</v>
      </c>
    </row>
    <row r="144" ht="15.75" hidden="1" thickTop="1">
      <c r="AS144" s="243" t="e">
        <f t="shared" si="15"/>
        <v>#DIV/0!</v>
      </c>
    </row>
    <row r="145" ht="15.75" hidden="1" thickTop="1">
      <c r="AS145" s="243" t="e">
        <f t="shared" si="15"/>
        <v>#DIV/0!</v>
      </c>
    </row>
    <row r="146" ht="15.75" hidden="1" thickTop="1">
      <c r="AS146" s="243" t="e">
        <f t="shared" si="15"/>
        <v>#DIV/0!</v>
      </c>
    </row>
    <row r="147" ht="15.75" hidden="1" thickTop="1">
      <c r="AS147" s="243" t="e">
        <f t="shared" si="15"/>
        <v>#DIV/0!</v>
      </c>
    </row>
    <row r="148" ht="15.75" hidden="1" thickTop="1">
      <c r="AS148" s="243" t="e">
        <f t="shared" si="15"/>
        <v>#DIV/0!</v>
      </c>
    </row>
    <row r="149" ht="15.75" hidden="1" thickTop="1">
      <c r="AS149" s="243" t="e">
        <f t="shared" si="15"/>
        <v>#DIV/0!</v>
      </c>
    </row>
    <row r="150" ht="15.75" hidden="1" thickTop="1">
      <c r="AS150" s="243" t="e">
        <f t="shared" si="15"/>
        <v>#DIV/0!</v>
      </c>
    </row>
    <row r="151" ht="15.75" hidden="1" thickTop="1">
      <c r="AS151" s="243" t="e">
        <f t="shared" si="15"/>
        <v>#DIV/0!</v>
      </c>
    </row>
    <row r="152" ht="15.75" hidden="1" thickTop="1">
      <c r="AS152" s="243" t="e">
        <f aca="true" t="shared" si="16" ref="AS152:AS211">CONCATENATE(ROUND((AR152-AQ152),1)," MT  (",ROUND(100*(AR152-AQ152)/AP152,1),"%)")</f>
        <v>#DIV/0!</v>
      </c>
    </row>
    <row r="153" ht="15.75" hidden="1" thickTop="1">
      <c r="AS153" s="243" t="e">
        <f t="shared" si="16"/>
        <v>#DIV/0!</v>
      </c>
    </row>
    <row r="154" ht="15.75" hidden="1" thickTop="1">
      <c r="AS154" s="243" t="e">
        <f t="shared" si="16"/>
        <v>#DIV/0!</v>
      </c>
    </row>
    <row r="155" ht="15.75" hidden="1" thickTop="1">
      <c r="AS155" s="243" t="e">
        <f t="shared" si="16"/>
        <v>#DIV/0!</v>
      </c>
    </row>
    <row r="156" ht="15.75" hidden="1" thickTop="1">
      <c r="AS156" s="243" t="e">
        <f t="shared" si="16"/>
        <v>#DIV/0!</v>
      </c>
    </row>
    <row r="157" ht="15.75" hidden="1" thickTop="1">
      <c r="AS157" s="243" t="e">
        <f t="shared" si="16"/>
        <v>#DIV/0!</v>
      </c>
    </row>
    <row r="158" ht="15.75" hidden="1" thickTop="1">
      <c r="AS158" s="243" t="e">
        <f t="shared" si="16"/>
        <v>#DIV/0!</v>
      </c>
    </row>
    <row r="159" ht="15.75" hidden="1" thickTop="1">
      <c r="AS159" s="243" t="e">
        <f t="shared" si="16"/>
        <v>#DIV/0!</v>
      </c>
    </row>
    <row r="160" ht="15.75" hidden="1" thickTop="1">
      <c r="AS160" s="243" t="e">
        <f t="shared" si="16"/>
        <v>#DIV/0!</v>
      </c>
    </row>
    <row r="161" ht="15.75" hidden="1" thickTop="1">
      <c r="AS161" s="243" t="e">
        <f t="shared" si="16"/>
        <v>#DIV/0!</v>
      </c>
    </row>
    <row r="162" ht="15.75" hidden="1" thickTop="1">
      <c r="AS162" s="243" t="e">
        <f t="shared" si="16"/>
        <v>#DIV/0!</v>
      </c>
    </row>
    <row r="163" ht="15.75" hidden="1" thickTop="1">
      <c r="AS163" s="243" t="e">
        <f t="shared" si="16"/>
        <v>#DIV/0!</v>
      </c>
    </row>
    <row r="164" ht="15.75" hidden="1" thickTop="1">
      <c r="AS164" s="243" t="e">
        <f t="shared" si="16"/>
        <v>#DIV/0!</v>
      </c>
    </row>
    <row r="165" ht="15.75" hidden="1" thickTop="1">
      <c r="AS165" s="243" t="e">
        <f t="shared" si="16"/>
        <v>#DIV/0!</v>
      </c>
    </row>
    <row r="166" ht="15.75" hidden="1" thickTop="1">
      <c r="AS166" s="243" t="e">
        <f t="shared" si="16"/>
        <v>#DIV/0!</v>
      </c>
    </row>
    <row r="167" ht="15.75" hidden="1" thickTop="1">
      <c r="AS167" s="243" t="e">
        <f t="shared" si="16"/>
        <v>#DIV/0!</v>
      </c>
    </row>
    <row r="168" ht="15.75" hidden="1" thickTop="1">
      <c r="AS168" s="243" t="e">
        <f t="shared" si="16"/>
        <v>#DIV/0!</v>
      </c>
    </row>
    <row r="169" ht="15.75" hidden="1" thickTop="1">
      <c r="AS169" s="243" t="e">
        <f t="shared" si="16"/>
        <v>#DIV/0!</v>
      </c>
    </row>
    <row r="170" ht="15.75" hidden="1" thickTop="1">
      <c r="AS170" s="243" t="e">
        <f t="shared" si="16"/>
        <v>#DIV/0!</v>
      </c>
    </row>
    <row r="171" ht="15.75" hidden="1" thickTop="1">
      <c r="AS171" s="243" t="e">
        <f t="shared" si="16"/>
        <v>#DIV/0!</v>
      </c>
    </row>
    <row r="172" ht="15.75" hidden="1" thickTop="1">
      <c r="AS172" s="243" t="e">
        <f t="shared" si="16"/>
        <v>#DIV/0!</v>
      </c>
    </row>
    <row r="173" ht="15.75" hidden="1" thickTop="1">
      <c r="AS173" s="243" t="e">
        <f t="shared" si="16"/>
        <v>#DIV/0!</v>
      </c>
    </row>
    <row r="174" ht="15.75" hidden="1" thickTop="1">
      <c r="AS174" s="243" t="e">
        <f t="shared" si="16"/>
        <v>#DIV/0!</v>
      </c>
    </row>
    <row r="175" ht="15.75" hidden="1" thickTop="1">
      <c r="AS175" s="243" t="e">
        <f t="shared" si="16"/>
        <v>#DIV/0!</v>
      </c>
    </row>
    <row r="176" ht="15.75" hidden="1" thickTop="1">
      <c r="AS176" s="243" t="e">
        <f t="shared" si="16"/>
        <v>#DIV/0!</v>
      </c>
    </row>
    <row r="177" ht="15.75" hidden="1" thickTop="1">
      <c r="AS177" s="243" t="e">
        <f t="shared" si="16"/>
        <v>#DIV/0!</v>
      </c>
    </row>
    <row r="178" ht="15.75" hidden="1" thickTop="1">
      <c r="AS178" s="243" t="e">
        <f t="shared" si="16"/>
        <v>#DIV/0!</v>
      </c>
    </row>
    <row r="179" ht="15.75" hidden="1" thickTop="1">
      <c r="AS179" s="243" t="e">
        <f t="shared" si="16"/>
        <v>#DIV/0!</v>
      </c>
    </row>
    <row r="180" ht="15.75" hidden="1" thickTop="1">
      <c r="AS180" s="243" t="e">
        <f t="shared" si="16"/>
        <v>#DIV/0!</v>
      </c>
    </row>
    <row r="181" ht="15.75" hidden="1" thickTop="1">
      <c r="AS181" s="243" t="e">
        <f t="shared" si="16"/>
        <v>#DIV/0!</v>
      </c>
    </row>
    <row r="182" ht="15.75" hidden="1" thickTop="1">
      <c r="AS182" s="243" t="e">
        <f t="shared" si="16"/>
        <v>#DIV/0!</v>
      </c>
    </row>
    <row r="183" ht="15.75" hidden="1" thickTop="1">
      <c r="AS183" s="243" t="e">
        <f t="shared" si="16"/>
        <v>#DIV/0!</v>
      </c>
    </row>
    <row r="184" ht="15.75" hidden="1" thickTop="1">
      <c r="AS184" s="243" t="e">
        <f t="shared" si="16"/>
        <v>#DIV/0!</v>
      </c>
    </row>
    <row r="185" ht="15.75" hidden="1" thickTop="1">
      <c r="AS185" s="243" t="e">
        <f t="shared" si="16"/>
        <v>#DIV/0!</v>
      </c>
    </row>
    <row r="186" ht="15.75" hidden="1" thickTop="1">
      <c r="AS186" s="243" t="e">
        <f t="shared" si="16"/>
        <v>#DIV/0!</v>
      </c>
    </row>
    <row r="187" ht="15.75" hidden="1" thickTop="1">
      <c r="AS187" s="243" t="e">
        <f t="shared" si="16"/>
        <v>#DIV/0!</v>
      </c>
    </row>
    <row r="188" ht="15.75" hidden="1" thickTop="1">
      <c r="AS188" s="243" t="e">
        <f t="shared" si="16"/>
        <v>#DIV/0!</v>
      </c>
    </row>
    <row r="189" ht="15.75" hidden="1" thickTop="1">
      <c r="AS189" s="243" t="e">
        <f t="shared" si="16"/>
        <v>#DIV/0!</v>
      </c>
    </row>
    <row r="190" ht="15.75" hidden="1" thickTop="1">
      <c r="AS190" s="243" t="e">
        <f t="shared" si="16"/>
        <v>#DIV/0!</v>
      </c>
    </row>
    <row r="191" ht="15.75" hidden="1" thickTop="1">
      <c r="AS191" s="243" t="e">
        <f t="shared" si="16"/>
        <v>#DIV/0!</v>
      </c>
    </row>
    <row r="192" ht="15.75" hidden="1" thickTop="1">
      <c r="AS192" s="243" t="e">
        <f t="shared" si="16"/>
        <v>#DIV/0!</v>
      </c>
    </row>
    <row r="193" ht="15.75" hidden="1" thickTop="1">
      <c r="AS193" s="243" t="e">
        <f t="shared" si="16"/>
        <v>#DIV/0!</v>
      </c>
    </row>
    <row r="194" ht="15.75" hidden="1" thickTop="1">
      <c r="AS194" s="243" t="e">
        <f t="shared" si="16"/>
        <v>#DIV/0!</v>
      </c>
    </row>
    <row r="195" ht="15.75" hidden="1" thickTop="1">
      <c r="AS195" s="243" t="e">
        <f t="shared" si="16"/>
        <v>#DIV/0!</v>
      </c>
    </row>
    <row r="196" ht="15.75" hidden="1" thickTop="1">
      <c r="AS196" s="243" t="e">
        <f t="shared" si="16"/>
        <v>#DIV/0!</v>
      </c>
    </row>
    <row r="197" ht="15.75" hidden="1" thickTop="1">
      <c r="AS197" s="243" t="e">
        <f t="shared" si="16"/>
        <v>#DIV/0!</v>
      </c>
    </row>
    <row r="198" ht="15.75" hidden="1" thickTop="1">
      <c r="AS198" s="243" t="e">
        <f t="shared" si="16"/>
        <v>#DIV/0!</v>
      </c>
    </row>
    <row r="199" ht="15.75" hidden="1" thickTop="1">
      <c r="AS199" s="243" t="e">
        <f t="shared" si="16"/>
        <v>#DIV/0!</v>
      </c>
    </row>
    <row r="200" ht="15.75" hidden="1" thickTop="1">
      <c r="AS200" s="243" t="e">
        <f t="shared" si="16"/>
        <v>#DIV/0!</v>
      </c>
    </row>
    <row r="201" ht="15.75" hidden="1" thickTop="1">
      <c r="AS201" s="243" t="e">
        <f t="shared" si="16"/>
        <v>#DIV/0!</v>
      </c>
    </row>
    <row r="202" ht="15.75" hidden="1" thickTop="1">
      <c r="AS202" s="243" t="e">
        <f t="shared" si="16"/>
        <v>#DIV/0!</v>
      </c>
    </row>
    <row r="203" ht="15.75" hidden="1" thickTop="1">
      <c r="AS203" s="243" t="e">
        <f t="shared" si="16"/>
        <v>#DIV/0!</v>
      </c>
    </row>
    <row r="204" ht="15.75" hidden="1" thickTop="1">
      <c r="AS204" s="243" t="e">
        <f t="shared" si="16"/>
        <v>#DIV/0!</v>
      </c>
    </row>
    <row r="205" ht="15.75" hidden="1" thickTop="1">
      <c r="AS205" s="243" t="e">
        <f t="shared" si="16"/>
        <v>#DIV/0!</v>
      </c>
    </row>
    <row r="206" ht="15.75" hidden="1" thickTop="1">
      <c r="AS206" s="243" t="e">
        <f t="shared" si="16"/>
        <v>#DIV/0!</v>
      </c>
    </row>
    <row r="207" ht="15.75" hidden="1" thickTop="1">
      <c r="AS207" s="243" t="e">
        <f t="shared" si="16"/>
        <v>#DIV/0!</v>
      </c>
    </row>
    <row r="208" ht="15.75" hidden="1" thickTop="1">
      <c r="AS208" s="243" t="e">
        <f t="shared" si="16"/>
        <v>#DIV/0!</v>
      </c>
    </row>
    <row r="209" ht="15.75" hidden="1" thickTop="1">
      <c r="AS209" s="243" t="e">
        <f t="shared" si="16"/>
        <v>#DIV/0!</v>
      </c>
    </row>
    <row r="210" ht="15.75" hidden="1" thickTop="1">
      <c r="AS210" s="243" t="e">
        <f t="shared" si="16"/>
        <v>#DIV/0!</v>
      </c>
    </row>
    <row r="211" ht="15.75" hidden="1" thickTop="1">
      <c r="AS211" s="243" t="e">
        <f t="shared" si="16"/>
        <v>#DIV/0!</v>
      </c>
    </row>
    <row r="212" ht="13.5" thickTop="1"/>
    <row r="214" spans="43:44" ht="12.75">
      <c r="AQ214">
        <f>AQ35/AQ31</f>
        <v>10.369268669812012</v>
      </c>
      <c r="AR214">
        <f>AR35/AR31</f>
        <v>10.029308212152422</v>
      </c>
    </row>
    <row r="215" spans="43:44" ht="12.75">
      <c r="AQ215">
        <f>AQ34/AQ29</f>
        <v>19.484290155120544</v>
      </c>
      <c r="AR215">
        <f>AR34/AR29</f>
        <v>27.31535404412488</v>
      </c>
    </row>
    <row r="428" spans="36:41" ht="12.75">
      <c r="AJ428" s="165"/>
      <c r="AK428" s="166"/>
      <c r="AL428" s="166"/>
      <c r="AM428" s="166"/>
      <c r="AN428" s="166"/>
      <c r="AO428" s="166"/>
    </row>
    <row r="429" spans="36:41" ht="13.5" thickBot="1">
      <c r="AJ429" s="186"/>
      <c r="AK429" s="186"/>
      <c r="AL429" s="186"/>
      <c r="AM429" s="186"/>
      <c r="AN429" s="186"/>
      <c r="AO429" s="186"/>
    </row>
    <row r="430" spans="36:41" ht="12.75">
      <c r="AJ430" s="167"/>
      <c r="AK430" s="168"/>
      <c r="AL430" s="168"/>
      <c r="AM430" s="168"/>
      <c r="AN430" s="168"/>
      <c r="AO430" s="169"/>
    </row>
    <row r="431" spans="36:41" ht="12.75">
      <c r="AJ431" s="170"/>
      <c r="AK431" s="65"/>
      <c r="AL431" s="65"/>
      <c r="AM431" s="65"/>
      <c r="AN431" s="65"/>
      <c r="AO431" s="171"/>
    </row>
    <row r="432" spans="36:41" ht="12.75">
      <c r="AJ432" s="172"/>
      <c r="AK432" s="173"/>
      <c r="AL432" s="173"/>
      <c r="AM432" s="173"/>
      <c r="AN432" s="174"/>
      <c r="AO432" s="175"/>
    </row>
    <row r="433" spans="36:41" ht="12.75">
      <c r="AJ433" s="172"/>
      <c r="AK433" s="173"/>
      <c r="AL433" s="173"/>
      <c r="AM433" s="173"/>
      <c r="AN433" s="174"/>
      <c r="AO433" s="175"/>
    </row>
    <row r="434" spans="36:41" ht="12.75">
      <c r="AJ434" s="172"/>
      <c r="AK434" s="173"/>
      <c r="AL434" s="173"/>
      <c r="AM434" s="173"/>
      <c r="AN434" s="174"/>
      <c r="AO434" s="175"/>
    </row>
    <row r="435" spans="36:41" ht="12.75">
      <c r="AJ435" s="172"/>
      <c r="AK435" s="173"/>
      <c r="AL435" s="173"/>
      <c r="AM435" s="173"/>
      <c r="AN435" s="174"/>
      <c r="AO435" s="175"/>
    </row>
    <row r="436" spans="36:41" ht="12.75">
      <c r="AJ436" s="172"/>
      <c r="AK436" s="173"/>
      <c r="AL436" s="173"/>
      <c r="AM436" s="173"/>
      <c r="AN436" s="174"/>
      <c r="AO436" s="175"/>
    </row>
    <row r="437" spans="36:41" ht="12.75">
      <c r="AJ437" s="170"/>
      <c r="AK437" s="174"/>
      <c r="AL437" s="174"/>
      <c r="AM437" s="174"/>
      <c r="AN437" s="174"/>
      <c r="AO437" s="176"/>
    </row>
    <row r="438" spans="36:41" ht="13.5" thickBot="1">
      <c r="AJ438" s="177"/>
      <c r="AK438" s="178"/>
      <c r="AL438" s="178"/>
      <c r="AM438" s="178"/>
      <c r="AN438" s="179"/>
      <c r="AO438" s="180"/>
    </row>
    <row r="439" spans="37:41" ht="13.5" thickBot="1">
      <c r="AK439" s="7"/>
      <c r="AL439" s="7"/>
      <c r="AM439" s="7"/>
      <c r="AN439" s="7"/>
      <c r="AO439" s="7"/>
    </row>
    <row r="440" spans="36:41" ht="12.75">
      <c r="AJ440" s="167"/>
      <c r="AK440" s="168"/>
      <c r="AL440" s="168"/>
      <c r="AM440" s="168"/>
      <c r="AN440" s="168"/>
      <c r="AO440" s="169"/>
    </row>
    <row r="441" spans="36:41" ht="12.75">
      <c r="AJ441" s="170"/>
      <c r="AK441" s="65"/>
      <c r="AL441" s="65"/>
      <c r="AM441" s="65"/>
      <c r="AN441" s="65"/>
      <c r="AO441" s="171"/>
    </row>
    <row r="442" spans="36:41" ht="12.75">
      <c r="AJ442" s="172"/>
      <c r="AK442" s="173"/>
      <c r="AL442" s="173"/>
      <c r="AM442" s="173"/>
      <c r="AN442" s="181"/>
      <c r="AO442" s="175"/>
    </row>
    <row r="443" spans="36:41" ht="12.75">
      <c r="AJ443" s="172"/>
      <c r="AK443" s="173"/>
      <c r="AL443" s="173"/>
      <c r="AM443" s="173"/>
      <c r="AN443" s="174"/>
      <c r="AO443" s="175"/>
    </row>
    <row r="444" spans="36:41" ht="12.75">
      <c r="AJ444" s="172"/>
      <c r="AK444" s="173"/>
      <c r="AL444" s="173"/>
      <c r="AM444" s="173"/>
      <c r="AN444" s="181"/>
      <c r="AO444" s="175"/>
    </row>
    <row r="445" spans="36:41" ht="12.75">
      <c r="AJ445" s="172"/>
      <c r="AK445" s="173"/>
      <c r="AL445" s="173"/>
      <c r="AM445" s="173"/>
      <c r="AN445" s="181"/>
      <c r="AO445" s="175"/>
    </row>
    <row r="446" spans="36:41" ht="12.75">
      <c r="AJ446" s="172"/>
      <c r="AK446" s="173"/>
      <c r="AL446" s="173"/>
      <c r="AM446" s="173"/>
      <c r="AN446" s="181"/>
      <c r="AO446" s="175"/>
    </row>
    <row r="447" spans="36:41" ht="12.75">
      <c r="AJ447" s="170"/>
      <c r="AK447" s="173"/>
      <c r="AL447" s="173"/>
      <c r="AM447" s="173"/>
      <c r="AN447" s="174"/>
      <c r="AO447" s="175"/>
    </row>
    <row r="448" spans="36:41" ht="13.5" thickBot="1">
      <c r="AJ448" s="177"/>
      <c r="AK448" s="178"/>
      <c r="AL448" s="178"/>
      <c r="AM448" s="178"/>
      <c r="AN448" s="179"/>
      <c r="AO448" s="180"/>
    </row>
    <row r="449" spans="37:41" ht="13.5" thickBot="1">
      <c r="AK449" s="7"/>
      <c r="AL449" s="7"/>
      <c r="AM449" s="7"/>
      <c r="AN449" s="7"/>
      <c r="AO449" s="7"/>
    </row>
    <row r="450" spans="36:41" ht="12.75">
      <c r="AJ450" s="167"/>
      <c r="AK450" s="168"/>
      <c r="AL450" s="168"/>
      <c r="AM450" s="168"/>
      <c r="AN450" s="168"/>
      <c r="AO450" s="169"/>
    </row>
    <row r="451" spans="36:41" ht="12.75">
      <c r="AJ451" s="182"/>
      <c r="AK451" s="65"/>
      <c r="AL451" s="65"/>
      <c r="AM451" s="65"/>
      <c r="AN451" s="65"/>
      <c r="AO451" s="171"/>
    </row>
    <row r="452" spans="36:41" ht="12.75">
      <c r="AJ452" s="170"/>
      <c r="AK452" s="174"/>
      <c r="AL452" s="174"/>
      <c r="AM452" s="174"/>
      <c r="AN452" s="181"/>
      <c r="AO452" s="176"/>
    </row>
    <row r="453" spans="36:41" ht="12.75">
      <c r="AJ453" s="170"/>
      <c r="AK453" s="174"/>
      <c r="AL453" s="174"/>
      <c r="AM453" s="174"/>
      <c r="AN453" s="181"/>
      <c r="AO453" s="176"/>
    </row>
    <row r="454" spans="36:41" ht="12.75">
      <c r="AJ454" s="170"/>
      <c r="AK454" s="174"/>
      <c r="AL454" s="174"/>
      <c r="AM454" s="174"/>
      <c r="AN454" s="181"/>
      <c r="AO454" s="176"/>
    </row>
    <row r="455" spans="36:41" ht="12.75">
      <c r="AJ455" s="170"/>
      <c r="AK455" s="174"/>
      <c r="AL455" s="174"/>
      <c r="AM455" s="174"/>
      <c r="AN455" s="181"/>
      <c r="AO455" s="176"/>
    </row>
    <row r="456" spans="36:41" ht="12.75">
      <c r="AJ456" s="170"/>
      <c r="AK456" s="174"/>
      <c r="AL456" s="174"/>
      <c r="AM456" s="174"/>
      <c r="AN456" s="181"/>
      <c r="AO456" s="176"/>
    </row>
    <row r="457" spans="36:41" ht="12.75">
      <c r="AJ457" s="170"/>
      <c r="AK457" s="46"/>
      <c r="AL457" s="46"/>
      <c r="AM457" s="46"/>
      <c r="AN457" s="46"/>
      <c r="AO457" s="183"/>
    </row>
    <row r="458" spans="36:41" ht="13.5" thickBot="1">
      <c r="AJ458" s="177"/>
      <c r="AK458" s="179"/>
      <c r="AL458" s="179"/>
      <c r="AM458" s="179"/>
      <c r="AN458" s="184"/>
      <c r="AO458" s="185"/>
    </row>
  </sheetData>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F9"/>
  <sheetViews>
    <sheetView workbookViewId="0" topLeftCell="A1">
      <selection activeCell="A10" sqref="A10"/>
    </sheetView>
  </sheetViews>
  <sheetFormatPr defaultColWidth="9.140625" defaultRowHeight="12.75"/>
  <sheetData>
    <row r="1" spans="1:2" ht="12.75">
      <c r="A1" t="s">
        <v>17</v>
      </c>
      <c r="B1" t="s">
        <v>18</v>
      </c>
    </row>
    <row r="2" spans="1:4" ht="12.75">
      <c r="A2" t="s">
        <v>19</v>
      </c>
      <c r="B2" t="s">
        <v>20</v>
      </c>
      <c r="C2" t="s">
        <v>21</v>
      </c>
      <c r="D2" t="s">
        <v>22</v>
      </c>
    </row>
    <row r="3" spans="1:6" ht="12.75">
      <c r="A3" t="s">
        <v>23</v>
      </c>
      <c r="B3" t="s">
        <v>24</v>
      </c>
      <c r="C3" t="s">
        <v>25</v>
      </c>
      <c r="D3" t="s">
        <v>26</v>
      </c>
      <c r="E3" t="s">
        <v>24</v>
      </c>
      <c r="F3" t="s">
        <v>27</v>
      </c>
    </row>
    <row r="4" spans="1:4" ht="12.75">
      <c r="A4" t="s">
        <v>28</v>
      </c>
      <c r="B4" t="s">
        <v>20</v>
      </c>
      <c r="C4" t="s">
        <v>21</v>
      </c>
      <c r="D4">
        <v>1</v>
      </c>
    </row>
    <row r="5" spans="2:5" ht="12.75">
      <c r="B5" t="s">
        <v>29</v>
      </c>
      <c r="C5" t="s">
        <v>30</v>
      </c>
      <c r="D5" t="s">
        <v>31</v>
      </c>
      <c r="E5" t="s">
        <v>32</v>
      </c>
    </row>
    <row r="6" spans="2:6" ht="12.75">
      <c r="B6" t="s">
        <v>33</v>
      </c>
      <c r="C6" t="s">
        <v>34</v>
      </c>
      <c r="D6" t="s">
        <v>35</v>
      </c>
      <c r="E6" t="s">
        <v>36</v>
      </c>
      <c r="F6" t="s">
        <v>37</v>
      </c>
    </row>
    <row r="7" spans="2:6" ht="12.75">
      <c r="B7" t="s">
        <v>38</v>
      </c>
      <c r="C7" t="s">
        <v>34</v>
      </c>
      <c r="D7" t="s">
        <v>39</v>
      </c>
      <c r="E7" t="s">
        <v>40</v>
      </c>
      <c r="F7" t="s">
        <v>41</v>
      </c>
    </row>
    <row r="9" ht="12.75">
      <c r="A9" t="s">
        <v>42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B114"/>
  <sheetViews>
    <sheetView workbookViewId="0" topLeftCell="A1">
      <selection activeCell="A10" sqref="A10"/>
    </sheetView>
  </sheetViews>
  <sheetFormatPr defaultColWidth="9.140625" defaultRowHeight="12.75"/>
  <cols>
    <col min="1" max="1" width="21.28125" style="0" customWidth="1"/>
    <col min="8" max="8" width="10.00390625" style="0" customWidth="1"/>
    <col min="9" max="9" width="18.28125" style="0" bestFit="1" customWidth="1"/>
    <col min="10" max="11" width="18.28125" style="0" customWidth="1"/>
    <col min="15" max="17" width="38.7109375" style="0" customWidth="1"/>
    <col min="18" max="20" width="44.28125" style="0" customWidth="1"/>
    <col min="21" max="21" width="48.28125" style="0" customWidth="1"/>
    <col min="22" max="24" width="20.00390625" style="0" customWidth="1"/>
    <col min="34" max="38" width="12.28125" style="97" customWidth="1"/>
    <col min="41" max="41" width="10.00390625" style="0" bestFit="1" customWidth="1"/>
  </cols>
  <sheetData>
    <row r="1" spans="1:42" ht="63" customHeight="1">
      <c r="A1" s="148" t="s">
        <v>674</v>
      </c>
      <c r="B1" s="148"/>
      <c r="C1" s="148"/>
      <c r="D1" s="148"/>
      <c r="E1" s="81" t="s">
        <v>676</v>
      </c>
      <c r="F1" t="s">
        <v>636</v>
      </c>
      <c r="G1" s="145" t="s">
        <v>398</v>
      </c>
      <c r="H1" s="5" t="s">
        <v>645</v>
      </c>
      <c r="I1" t="s">
        <v>696</v>
      </c>
      <c r="J1" t="s">
        <v>697</v>
      </c>
      <c r="K1" t="s">
        <v>698</v>
      </c>
      <c r="L1" t="s">
        <v>677</v>
      </c>
      <c r="M1" t="s">
        <v>699</v>
      </c>
      <c r="N1" t="s">
        <v>700</v>
      </c>
      <c r="O1" t="s">
        <v>678</v>
      </c>
      <c r="P1" t="s">
        <v>702</v>
      </c>
      <c r="Q1" t="s">
        <v>701</v>
      </c>
      <c r="R1" t="s">
        <v>679</v>
      </c>
      <c r="S1" t="s">
        <v>703</v>
      </c>
      <c r="T1" t="s">
        <v>704</v>
      </c>
      <c r="U1" t="s">
        <v>684</v>
      </c>
      <c r="V1" s="144" t="s">
        <v>648</v>
      </c>
      <c r="W1" s="144" t="s">
        <v>648</v>
      </c>
      <c r="X1" s="144" t="s">
        <v>648</v>
      </c>
      <c r="Y1" s="1" t="s">
        <v>649</v>
      </c>
      <c r="Z1" s="1" t="s">
        <v>649</v>
      </c>
      <c r="AA1" s="1" t="s">
        <v>649</v>
      </c>
      <c r="AB1" t="s">
        <v>618</v>
      </c>
      <c r="AE1" t="s">
        <v>619</v>
      </c>
      <c r="AF1" t="s">
        <v>619</v>
      </c>
      <c r="AG1" t="s">
        <v>619</v>
      </c>
      <c r="AH1" s="52" t="s">
        <v>362</v>
      </c>
      <c r="AI1" s="53"/>
      <c r="AJ1" s="53"/>
      <c r="AK1" s="53"/>
      <c r="AL1" s="53"/>
      <c r="AM1" t="s">
        <v>43</v>
      </c>
      <c r="AN1" t="s">
        <v>44</v>
      </c>
      <c r="AO1" t="s">
        <v>59</v>
      </c>
      <c r="AP1" t="s">
        <v>59</v>
      </c>
    </row>
    <row r="2" spans="1:50" ht="12.75">
      <c r="A2" s="81" t="s">
        <v>675</v>
      </c>
      <c r="B2" s="81"/>
      <c r="C2" s="81"/>
      <c r="D2" s="81"/>
      <c r="E2">
        <v>0.34684564824073727</v>
      </c>
      <c r="F2">
        <v>1.81306368603902</v>
      </c>
      <c r="G2" s="6">
        <v>9.46</v>
      </c>
      <c r="H2">
        <v>253.67845708395973</v>
      </c>
      <c r="I2">
        <f>G2*$C$3</f>
        <v>61.84948000000001</v>
      </c>
      <c r="J2">
        <f>G2*$B$7</f>
        <v>44.205634</v>
      </c>
      <c r="K2">
        <f>G2*$C$7</f>
        <v>79.49332600000001</v>
      </c>
      <c r="L2">
        <f>F2*$C$4</f>
        <v>268.33342553377497</v>
      </c>
      <c r="M2">
        <f>F2*$B$8</f>
        <v>185.72244782398724</v>
      </c>
      <c r="N2">
        <f>F2*$C$8</f>
        <v>350.94440324356265</v>
      </c>
      <c r="O2">
        <f aca="true" t="shared" si="0" ref="O2:O44">I2*E2/3.28^3*86400*365.25*1000/1000000000000</f>
        <v>0.01918468790462937</v>
      </c>
      <c r="P2">
        <f>J2*E2/3.28^3*86400*365.25*1000/1000000000000</f>
        <v>0.013711858077323738</v>
      </c>
      <c r="Q2">
        <f>K2*E2/3.28^3*86400*365.25*1000/1000000000000</f>
        <v>0.024657517731935013</v>
      </c>
      <c r="R2">
        <f>L2*E2/3.28^3*86400*365.25*1000/1000000000000</f>
        <v>0.08323259990618481</v>
      </c>
      <c r="S2">
        <f>M2*E2/3.28^3*86400*365.25*1000/1000000000000</f>
        <v>0.057608038068986324</v>
      </c>
      <c r="T2">
        <f>N2*E2/3.28^3*86400*365.25*1000/1000000000000</f>
        <v>0.10885716174338328</v>
      </c>
      <c r="U2">
        <f>-22.0085*E2/3.28^3*86400*365.25*1000/1000000000000</f>
        <v>-0.006826673461911653</v>
      </c>
      <c r="V2" s="6">
        <f aca="true" t="shared" si="1" ref="V2:V11">R2/((10^F2-1)*(AH2/1000000))*1000</f>
        <v>3.1109640923872863</v>
      </c>
      <c r="W2" s="6">
        <f>S2/((10^F2-1)*(AH2/1000000))*1000</f>
        <v>2.153201246476732</v>
      </c>
      <c r="X2" s="6">
        <f>T2/((10^F2-1)*(AH2/1000000))*1000</f>
        <v>4.06872693829784</v>
      </c>
      <c r="Y2" s="6">
        <f>(R2*1000)/(AH2/10000)</f>
        <v>1.9917170917978089</v>
      </c>
      <c r="Z2" s="6">
        <f>(S2*1000)/(AH2/10000)</f>
        <v>1.3785333412180596</v>
      </c>
      <c r="AA2" s="6">
        <f>(T2*1000)/(AH2/10000)</f>
        <v>2.6049008423775573</v>
      </c>
      <c r="AB2">
        <f>IF(wshed_char_unis_excluded!DU2=1,Y2)</f>
        <v>1.9917170917978089</v>
      </c>
      <c r="AC2">
        <f>IF(wshed_char_unis_excluded!DU2=1,Z2)</f>
        <v>1.3785333412180596</v>
      </c>
      <c r="AD2">
        <f>IF(wshed_char_unis_excluded!DU2=1,AA2)</f>
        <v>2.6049008423775573</v>
      </c>
      <c r="AE2" t="b">
        <f>IF(wshed_char_unis_excluded!DV2=1,Y2)</f>
        <v>0</v>
      </c>
      <c r="AF2" t="b">
        <f>IF(wshed_char_unis_excluded!DV2=1,Z2)</f>
        <v>0</v>
      </c>
      <c r="AG2" t="b">
        <f>IF(wshed_char_unis_excluded!DV2=1,AA2)</f>
        <v>0</v>
      </c>
      <c r="AH2" s="8">
        <v>417893.687055</v>
      </c>
      <c r="AI2" s="8" t="s">
        <v>56</v>
      </c>
      <c r="AJ2" s="8"/>
      <c r="AK2" s="8"/>
      <c r="AL2" s="8"/>
      <c r="AM2" s="7">
        <f>0.8589*F2</f>
        <v>1.5572403999389142</v>
      </c>
      <c r="AN2" s="7">
        <f aca="true" t="shared" si="2" ref="AN2:AN44">AM2*(AH2/10000)/1000</f>
        <v>0.06507609323614756</v>
      </c>
      <c r="AO2">
        <f>IF(wshed_char_unis_excluded!DS2=1,AN2,0)</f>
        <v>0.06507609323614756</v>
      </c>
      <c r="AP2">
        <f>IF(wshed_char_unis_excluded!DS2=1,0.831*(AH2/10000)/1000,0)</f>
        <v>0.0347269653942705</v>
      </c>
      <c r="AQ2">
        <f>0.31*F2</f>
        <v>0.5620497426720962</v>
      </c>
      <c r="AR2" s="56">
        <f>AQ2*(AH2/10000)/1000</f>
        <v>0.02348770392735562</v>
      </c>
      <c r="AS2">
        <f>IF(wshed_char_unis_excluded!DS2=1,AR2,0)</f>
        <v>0.02348770392735562</v>
      </c>
      <c r="AT2">
        <f>IF(wshed_char_unis_excluded!DS2=1,1.3384*(AH2/10000)/1000,0)</f>
        <v>0.0559308910754412</v>
      </c>
      <c r="AU2">
        <f>1.406*F2</f>
        <v>2.5491675425708618</v>
      </c>
      <c r="AV2" s="56">
        <f>AU2*(AH2/10000)/1000</f>
        <v>0.1065281023285871</v>
      </c>
      <c r="AW2">
        <f>IF(wshed_char_unis_excluded!DS2=1,AV2,0)</f>
        <v>0.1065281023285871</v>
      </c>
      <c r="AX2">
        <f>IF(wshed_char_unis_excluded!DS2=1,0.278*(AH2/10000)/1000,0)</f>
        <v>0.011617444500129</v>
      </c>
    </row>
    <row r="3" spans="1:50" ht="12.75">
      <c r="A3" s="129" t="s">
        <v>689</v>
      </c>
      <c r="B3" s="81" t="s">
        <v>657</v>
      </c>
      <c r="C3" s="81">
        <v>6.538</v>
      </c>
      <c r="D3" s="81"/>
      <c r="E3">
        <v>12.806346668723753</v>
      </c>
      <c r="F3">
        <v>0.780732014728844</v>
      </c>
      <c r="G3" s="6">
        <v>17.92</v>
      </c>
      <c r="H3">
        <v>186.5284120532817</v>
      </c>
      <c r="I3">
        <f aca="true" t="shared" si="3" ref="I3:I44">G3*$C$3</f>
        <v>117.16096000000002</v>
      </c>
      <c r="J3">
        <f aca="true" t="shared" si="4" ref="J3:J44">G3*$B$7</f>
        <v>83.73836800000001</v>
      </c>
      <c r="K3">
        <f aca="true" t="shared" si="5" ref="K3:K44">G3*$C$7</f>
        <v>150.58355200000003</v>
      </c>
      <c r="L3">
        <f aca="true" t="shared" si="6" ref="L3:L44">F3*$C$4</f>
        <v>115.54833817986892</v>
      </c>
      <c r="M3">
        <f aca="true" t="shared" si="7" ref="M3:M44">F3*$B$8</f>
        <v>79.97483044115944</v>
      </c>
      <c r="N3">
        <f aca="true" t="shared" si="8" ref="N3:N44">F3*$C$8</f>
        <v>151.12184591857837</v>
      </c>
      <c r="O3">
        <f t="shared" si="0"/>
        <v>1.3418087251168784</v>
      </c>
      <c r="P3">
        <f aca="true" t="shared" si="9" ref="P3:P44">J3*E3/3.28^3*86400*365.25*1000/1000000000000</f>
        <v>0.9590299773017222</v>
      </c>
      <c r="Q3">
        <f aca="true" t="shared" si="10" ref="Q3:Q44">K3*E3/3.28^3*86400*365.25*1000/1000000000000</f>
        <v>1.724587472932034</v>
      </c>
      <c r="R3">
        <f aca="true" t="shared" si="11" ref="R3:R44">L3*E3/3.28^3*86400*365.25*1000/1000000000000</f>
        <v>1.3233398594762606</v>
      </c>
      <c r="S3">
        <f aca="true" t="shared" si="12" ref="S3:S44">M3*E3/3.28^3*86400*365.25*1000/1000000000000</f>
        <v>0.9159273300226514</v>
      </c>
      <c r="T3">
        <f aca="true" t="shared" si="13" ref="T3:T44">N3*E3/3.28^3*86400*365.25*1000/1000000000000</f>
        <v>1.7307523889298697</v>
      </c>
      <c r="U3">
        <f aca="true" t="shared" si="14" ref="U3:U44">-22.0085*E3/3.28^3*86400*365.25*1000/1000000000000</f>
        <v>-0.25205663496385494</v>
      </c>
      <c r="V3" s="6">
        <f t="shared" si="1"/>
        <v>17.03144486184339</v>
      </c>
      <c r="W3" s="6">
        <f aca="true" t="shared" si="15" ref="W3:W44">S3/((10^F3-1)*(AH3/1000000))*1000</f>
        <v>11.788026867799536</v>
      </c>
      <c r="X3" s="6">
        <f aca="true" t="shared" si="16" ref="X3:X44">T3/((10^F3-1)*(AH3/1000000))*1000</f>
        <v>22.274862855887246</v>
      </c>
      <c r="Y3" s="6">
        <f aca="true" t="shared" si="17" ref="Y3:Y44">(R3*1000)/(AH3/10000)</f>
        <v>0.8576628111877038</v>
      </c>
      <c r="Z3" s="6">
        <f aca="true" t="shared" si="18" ref="Z3:Z44">(S3*1000)/(AH3/10000)</f>
        <v>0.593616827216083</v>
      </c>
      <c r="AA3" s="6">
        <f aca="true" t="shared" si="19" ref="AA3:AA44">(T3*1000)/(AH3/10000)</f>
        <v>1.1217087951593245</v>
      </c>
      <c r="AB3">
        <f>IF(wshed_char_unis_excluded!DU3=1,Y3)</f>
        <v>0.8576628111877038</v>
      </c>
      <c r="AC3">
        <f>IF(wshed_char_unis_excluded!DU3=1,Z3)</f>
        <v>0.593616827216083</v>
      </c>
      <c r="AD3">
        <f>IF(wshed_char_unis_excluded!DU3=1,AA3)</f>
        <v>1.1217087951593245</v>
      </c>
      <c r="AE3" t="b">
        <f>IF(wshed_char_unis_excluded!DV3=1,Y3)</f>
        <v>0</v>
      </c>
      <c r="AF3" t="b">
        <f>IF(wshed_char_unis_excluded!DV3=1,Z3)</f>
        <v>0</v>
      </c>
      <c r="AG3" t="b">
        <f>IF(wshed_char_unis_excluded!DV3=1,AA3)</f>
        <v>0</v>
      </c>
      <c r="AH3" s="8">
        <v>15429605.2273</v>
      </c>
      <c r="AI3" s="8" t="s">
        <v>55</v>
      </c>
      <c r="AJ3" s="8"/>
      <c r="AK3" s="8"/>
      <c r="AL3" s="8"/>
      <c r="AM3" s="7">
        <f aca="true" t="shared" si="20" ref="AM3:AM44">0.8589*F3</f>
        <v>0.6705707274506041</v>
      </c>
      <c r="AN3" s="7">
        <f t="shared" si="2"/>
        <v>1.0346641601546203</v>
      </c>
      <c r="AO3">
        <f>IF(wshed_char_unis_excluded!DS3=1,AN3,0)</f>
        <v>1.0346641601546203</v>
      </c>
      <c r="AP3">
        <f>IF(wshed_char_unis_excluded!DS3=1,0.831*(AH3/10000)/1000,0)</f>
        <v>1.2822001943886299</v>
      </c>
      <c r="AQ3">
        <f aca="true" t="shared" si="21" ref="AQ3:AQ44">0.31*F3</f>
        <v>0.24202692456594163</v>
      </c>
      <c r="AR3" s="56">
        <f aca="true" t="shared" si="22" ref="AR3:AR44">AQ3*(AH3/10000)/1000</f>
        <v>0.37343799004299955</v>
      </c>
      <c r="AS3">
        <f>IF(wshed_char_unis_excluded!DS3=1,AR3,0)</f>
        <v>0.37343799004299955</v>
      </c>
      <c r="AT3">
        <f>IF(wshed_char_unis_excluded!DS3=1,1.3384*(AH3/10000)/1000,0)</f>
        <v>2.065098363621832</v>
      </c>
      <c r="AU3">
        <f aca="true" t="shared" si="23" ref="AU3:AU44">1.406*F3</f>
        <v>1.0977092127087547</v>
      </c>
      <c r="AV3" s="56">
        <f aca="true" t="shared" si="24" ref="AV3:AV44">AU3*(AH3/10000)/1000</f>
        <v>1.6937219806466366</v>
      </c>
      <c r="AW3">
        <f>IF(wshed_char_unis_excluded!DS3=1,AV3,0)</f>
        <v>1.6937219806466366</v>
      </c>
      <c r="AX3">
        <f>IF(wshed_char_unis_excluded!DS3=1,0.278*(AH3/10000)/1000,0)</f>
        <v>0.42894302531893996</v>
      </c>
    </row>
    <row r="4" spans="1:50" ht="12.75">
      <c r="A4" s="129" t="s">
        <v>690</v>
      </c>
      <c r="B4" s="81"/>
      <c r="C4" s="81">
        <v>148</v>
      </c>
      <c r="D4" s="81"/>
      <c r="E4">
        <v>36.378998074471355</v>
      </c>
      <c r="F4">
        <v>1.92478045085939</v>
      </c>
      <c r="G4" s="6">
        <v>22.65</v>
      </c>
      <c r="H4">
        <v>294.71764253992166</v>
      </c>
      <c r="I4">
        <f t="shared" si="3"/>
        <v>148.0857</v>
      </c>
      <c r="J4">
        <f t="shared" si="4"/>
        <v>105.841185</v>
      </c>
      <c r="K4">
        <f t="shared" si="5"/>
        <v>190.33021499999998</v>
      </c>
      <c r="L4">
        <f t="shared" si="6"/>
        <v>284.8675067271897</v>
      </c>
      <c r="M4">
        <f t="shared" si="7"/>
        <v>197.16623283009721</v>
      </c>
      <c r="N4">
        <f t="shared" si="8"/>
        <v>372.5687806242822</v>
      </c>
      <c r="O4">
        <f t="shared" si="0"/>
        <v>4.817772545077609</v>
      </c>
      <c r="P4">
        <f t="shared" si="9"/>
        <v>3.4434030782950686</v>
      </c>
      <c r="Q4">
        <f t="shared" si="10"/>
        <v>6.192142011860148</v>
      </c>
      <c r="R4">
        <f t="shared" si="11"/>
        <v>9.267787861319261</v>
      </c>
      <c r="S4">
        <f t="shared" si="12"/>
        <v>6.414542817741495</v>
      </c>
      <c r="T4">
        <f t="shared" si="13"/>
        <v>12.121032904897028</v>
      </c>
      <c r="U4">
        <f t="shared" si="14"/>
        <v>-0.7160174619044279</v>
      </c>
      <c r="V4" s="6">
        <f t="shared" si="1"/>
        <v>2.9791148153341305</v>
      </c>
      <c r="W4" s="6">
        <f t="shared" si="15"/>
        <v>2.0619439965481234</v>
      </c>
      <c r="X4" s="6">
        <f t="shared" si="16"/>
        <v>3.896285634120137</v>
      </c>
      <c r="Y4" s="6">
        <f t="shared" si="17"/>
        <v>2.4755547347303737</v>
      </c>
      <c r="Z4" s="6">
        <f t="shared" si="18"/>
        <v>1.7134133928406763</v>
      </c>
      <c r="AA4" s="6">
        <f t="shared" si="19"/>
        <v>3.2376960766200713</v>
      </c>
      <c r="AB4">
        <f>IF(wshed_char_unis_excluded!DU4=1,Y4)</f>
        <v>2.4755547347303737</v>
      </c>
      <c r="AC4">
        <f>IF(wshed_char_unis_excluded!DU4=1,Z4)</f>
        <v>1.7134133928406763</v>
      </c>
      <c r="AD4">
        <f>IF(wshed_char_unis_excluded!DU4=1,AA4)</f>
        <v>3.2376960766200713</v>
      </c>
      <c r="AE4" t="b">
        <f>IF(wshed_char_unis_excluded!DV4=1,Y4)</f>
        <v>0</v>
      </c>
      <c r="AF4" t="b">
        <f>IF(wshed_char_unis_excluded!DV4=1,Z4)</f>
        <v>0</v>
      </c>
      <c r="AG4" t="b">
        <f>IF(wshed_char_unis_excluded!DV4=1,AA4)</f>
        <v>0</v>
      </c>
      <c r="AH4" s="8">
        <v>37437216.5208</v>
      </c>
      <c r="AI4" s="8" t="s">
        <v>50</v>
      </c>
      <c r="AJ4" s="228">
        <v>0.8589</v>
      </c>
      <c r="AK4" s="228" t="s">
        <v>53</v>
      </c>
      <c r="AL4" s="228"/>
      <c r="AM4" s="7">
        <f t="shared" si="20"/>
        <v>1.6531939292431301</v>
      </c>
      <c r="AN4" s="7">
        <f t="shared" si="2"/>
        <v>6.189097907994718</v>
      </c>
      <c r="AO4">
        <f>IF(wshed_char_unis_excluded!DS4=1,AN4,0)</f>
        <v>6.189097907994718</v>
      </c>
      <c r="AP4">
        <f>IF(wshed_char_unis_excluded!DS4=1,0.831*(AH4/10000)/1000,0)</f>
        <v>3.11103269287848</v>
      </c>
      <c r="AQ4">
        <f t="shared" si="21"/>
        <v>0.5966819397664109</v>
      </c>
      <c r="AR4" s="56">
        <f t="shared" si="22"/>
        <v>2.233811097308607</v>
      </c>
      <c r="AS4">
        <f>IF(wshed_char_unis_excluded!DS4=1,AR4,0)</f>
        <v>2.233811097308607</v>
      </c>
      <c r="AT4">
        <f>IF(wshed_char_unis_excluded!DS4=1,1.3384*(AH4/10000)/1000,0)</f>
        <v>5.010597059143873</v>
      </c>
      <c r="AU4">
        <f t="shared" si="23"/>
        <v>2.7062413139083024</v>
      </c>
      <c r="AV4" s="56">
        <f t="shared" si="24"/>
        <v>10.131414202631941</v>
      </c>
      <c r="AW4">
        <f>IF(wshed_char_unis_excluded!DS4=1,AV4,0)</f>
        <v>10.131414202631941</v>
      </c>
      <c r="AX4">
        <f>IF(wshed_char_unis_excluded!DS4=1,0.278*(AH4/10000)/1000,0)</f>
        <v>1.0407546192782402</v>
      </c>
    </row>
    <row r="5" spans="1:50" ht="12.75">
      <c r="A5" s="81"/>
      <c r="B5" s="81"/>
      <c r="C5" s="81"/>
      <c r="D5" s="81"/>
      <c r="E5">
        <v>3.5299665014692536</v>
      </c>
      <c r="F5">
        <v>1.74986135209291</v>
      </c>
      <c r="G5" s="6">
        <v>16.17</v>
      </c>
      <c r="H5">
        <v>214.87725779586196</v>
      </c>
      <c r="I5">
        <f t="shared" si="3"/>
        <v>105.71946000000001</v>
      </c>
      <c r="J5">
        <f t="shared" si="4"/>
        <v>75.56079300000002</v>
      </c>
      <c r="K5">
        <f t="shared" si="5"/>
        <v>135.878127</v>
      </c>
      <c r="L5">
        <f t="shared" si="6"/>
        <v>258.9794801097507</v>
      </c>
      <c r="M5">
        <f t="shared" si="7"/>
        <v>179.2482725045837</v>
      </c>
      <c r="N5">
        <f t="shared" si="8"/>
        <v>338.7106877149177</v>
      </c>
      <c r="O5">
        <f t="shared" si="0"/>
        <v>0.3337397652721348</v>
      </c>
      <c r="P5">
        <f t="shared" si="9"/>
        <v>0.23853358047417542</v>
      </c>
      <c r="Q5">
        <f t="shared" si="10"/>
        <v>0.4289459500700942</v>
      </c>
      <c r="R5">
        <f t="shared" si="11"/>
        <v>0.8175576275373303</v>
      </c>
      <c r="S5">
        <f t="shared" si="12"/>
        <v>0.5658587018049033</v>
      </c>
      <c r="T5">
        <f t="shared" si="13"/>
        <v>1.069256553269757</v>
      </c>
      <c r="U5">
        <f t="shared" si="14"/>
        <v>-0.06947738499602417</v>
      </c>
      <c r="V5" s="6">
        <f t="shared" si="1"/>
        <v>3.4813833745846994</v>
      </c>
      <c r="W5" s="6">
        <f t="shared" si="15"/>
        <v>2.4095806955672012</v>
      </c>
      <c r="X5" s="6">
        <f t="shared" si="16"/>
        <v>4.553186053602197</v>
      </c>
      <c r="Y5" s="6">
        <f t="shared" si="17"/>
        <v>1.9222870051588263</v>
      </c>
      <c r="Z5" s="6">
        <f t="shared" si="18"/>
        <v>1.3304784795564049</v>
      </c>
      <c r="AA5" s="6">
        <f t="shared" si="19"/>
        <v>2.514095530761247</v>
      </c>
      <c r="AB5">
        <f>IF(wshed_char_unis_excluded!DU5=1,Y5)</f>
        <v>1.9222870051588263</v>
      </c>
      <c r="AC5">
        <f>IF(wshed_char_unis_excluded!DU5=1,Z5)</f>
        <v>1.3304784795564049</v>
      </c>
      <c r="AD5">
        <f>IF(wshed_char_unis_excluded!DU5=1,AA5)</f>
        <v>2.514095530761247</v>
      </c>
      <c r="AE5" t="b">
        <f>IF(wshed_char_unis_excluded!DV5=1,Y5)</f>
        <v>0</v>
      </c>
      <c r="AF5" t="b">
        <f>IF(wshed_char_unis_excluded!DV5=1,Z5)</f>
        <v>0</v>
      </c>
      <c r="AG5" t="b">
        <f>IF(wshed_char_unis_excluded!DV5=1,AA5)</f>
        <v>0</v>
      </c>
      <c r="AH5" s="8">
        <v>4253046.63322</v>
      </c>
      <c r="AI5" s="8" t="s">
        <v>51</v>
      </c>
      <c r="AJ5" s="228">
        <v>0.831</v>
      </c>
      <c r="AK5" s="228" t="s">
        <v>54</v>
      </c>
      <c r="AL5" s="228"/>
      <c r="AM5" s="7">
        <f t="shared" si="20"/>
        <v>1.5029559153126004</v>
      </c>
      <c r="AN5" s="7">
        <f t="shared" si="2"/>
        <v>0.6392141595498338</v>
      </c>
      <c r="AO5">
        <f>IF(wshed_char_unis_excluded!DS5=1,AN5,0)</f>
        <v>0.6392141595498338</v>
      </c>
      <c r="AP5">
        <f>IF(wshed_char_unis_excluded!DS5=1,0.831*(AH5/10000)/1000,0)</f>
        <v>0.35342817522058195</v>
      </c>
      <c r="AQ5">
        <f t="shared" si="21"/>
        <v>0.5424570191488021</v>
      </c>
      <c r="AR5" s="56">
        <f t="shared" si="22"/>
        <v>0.23070949989573697</v>
      </c>
      <c r="AS5">
        <f>IF(wshed_char_unis_excluded!DS5=1,AR5,0)</f>
        <v>0.23070949989573697</v>
      </c>
      <c r="AT5">
        <f>IF(wshed_char_unis_excluded!DS5=1,1.3384*(AH5/10000)/1000,0)</f>
        <v>0.5692277613901648</v>
      </c>
      <c r="AU5">
        <f t="shared" si="23"/>
        <v>2.4603050610426314</v>
      </c>
      <c r="AV5" s="56">
        <f t="shared" si="24"/>
        <v>1.0463792156561489</v>
      </c>
      <c r="AW5">
        <f>IF(wshed_char_unis_excluded!DS5=1,AV5,0)</f>
        <v>1.0463792156561489</v>
      </c>
      <c r="AX5">
        <f>IF(wshed_char_unis_excluded!DS5=1,0.278*(AH5/10000)/1000,0)</f>
        <v>0.11823469640351601</v>
      </c>
    </row>
    <row r="6" spans="1:50" ht="12.75">
      <c r="A6" s="129" t="s">
        <v>691</v>
      </c>
      <c r="B6" s="81"/>
      <c r="C6" s="81"/>
      <c r="D6" s="81"/>
      <c r="E6">
        <v>206.9048516955258</v>
      </c>
      <c r="F6">
        <v>0.496099183582727</v>
      </c>
      <c r="G6" s="6">
        <v>6.54</v>
      </c>
      <c r="H6">
        <v>85.49336689980957</v>
      </c>
      <c r="I6">
        <f t="shared" si="3"/>
        <v>42.758520000000004</v>
      </c>
      <c r="J6">
        <f t="shared" si="4"/>
        <v>30.560766</v>
      </c>
      <c r="K6">
        <f t="shared" si="5"/>
        <v>54.956274</v>
      </c>
      <c r="L6">
        <f t="shared" si="6"/>
        <v>73.4226791702436</v>
      </c>
      <c r="M6">
        <f t="shared" si="7"/>
        <v>50.818267139725144</v>
      </c>
      <c r="N6">
        <f t="shared" si="8"/>
        <v>96.02709120076204</v>
      </c>
      <c r="O6">
        <f t="shared" si="0"/>
        <v>7.911808648113942</v>
      </c>
      <c r="P6">
        <f t="shared" si="9"/>
        <v>5.654801259065713</v>
      </c>
      <c r="Q6">
        <f t="shared" si="10"/>
        <v>10.168816037162166</v>
      </c>
      <c r="R6">
        <f t="shared" si="11"/>
        <v>13.585741228340659</v>
      </c>
      <c r="S6">
        <f t="shared" si="12"/>
        <v>9.403141302323885</v>
      </c>
      <c r="T6">
        <f t="shared" si="13"/>
        <v>17.76834115435743</v>
      </c>
      <c r="U6">
        <f t="shared" si="14"/>
        <v>-4.07233553995825</v>
      </c>
      <c r="V6" s="6">
        <f t="shared" si="1"/>
        <v>35.98137923745532</v>
      </c>
      <c r="W6" s="6">
        <f t="shared" si="15"/>
        <v>24.903903845636492</v>
      </c>
      <c r="X6" s="6">
        <f t="shared" si="16"/>
        <v>47.05885462927414</v>
      </c>
      <c r="Y6" s="6">
        <f t="shared" si="17"/>
        <v>0.7678431300324976</v>
      </c>
      <c r="Z6" s="6">
        <f t="shared" si="18"/>
        <v>0.5314496521288508</v>
      </c>
      <c r="AA6" s="6">
        <f t="shared" si="19"/>
        <v>1.0042366079361444</v>
      </c>
      <c r="AB6" t="b">
        <f>IF(wshed_char_unis_excluded!DU6=1,Y6)</f>
        <v>0</v>
      </c>
      <c r="AC6" t="b">
        <f>IF(wshed_char_unis_excluded!DU6=1,Z6)</f>
        <v>0</v>
      </c>
      <c r="AD6" t="b">
        <f>IF(wshed_char_unis_excluded!DU6=1,AA6)</f>
        <v>0</v>
      </c>
      <c r="AE6">
        <f>IF(wshed_char_unis_excluded!DV6=1,Y6)</f>
        <v>0.7678431300324976</v>
      </c>
      <c r="AF6">
        <f>IF(wshed_char_unis_excluded!DV6=1,Z6)</f>
        <v>0.5314496521288508</v>
      </c>
      <c r="AG6">
        <f>IF(wshed_char_unis_excluded!DV6=1,AA6)</f>
        <v>1.0042366079361444</v>
      </c>
      <c r="AH6" s="8">
        <v>176933812.35</v>
      </c>
      <c r="AI6" s="8" t="s">
        <v>52</v>
      </c>
      <c r="AJ6" s="228"/>
      <c r="AK6" s="228"/>
      <c r="AL6" s="228"/>
      <c r="AM6" s="7">
        <f t="shared" si="20"/>
        <v>0.4260995887792042</v>
      </c>
      <c r="AN6" s="7">
        <f t="shared" si="2"/>
        <v>7.539142468347188</v>
      </c>
      <c r="AO6">
        <f>IF(wshed_char_unis_excluded!DS6=1,AN6,0)</f>
        <v>7.539142468347188</v>
      </c>
      <c r="AP6">
        <f>IF(wshed_char_unis_excluded!DS6=1,0.831*(AH6/10000)/1000,0)</f>
        <v>14.703199806285</v>
      </c>
      <c r="AQ6">
        <f t="shared" si="21"/>
        <v>0.15379074691064537</v>
      </c>
      <c r="AR6" s="56">
        <f t="shared" si="22"/>
        <v>2.7210783155054474</v>
      </c>
      <c r="AS6">
        <f>IF(wshed_char_unis_excluded!DS6=1,AR6,0)</f>
        <v>2.7210783155054474</v>
      </c>
      <c r="AT6">
        <f>IF(wshed_char_unis_excluded!DS6=1,1.3384*(AH6/10000)/1000,0)</f>
        <v>23.680821444924</v>
      </c>
      <c r="AU6">
        <f t="shared" si="23"/>
        <v>0.6975154521173141</v>
      </c>
      <c r="AV6" s="56">
        <f t="shared" si="24"/>
        <v>12.341406811615029</v>
      </c>
      <c r="AW6">
        <f>IF(wshed_char_unis_excluded!DS6=1,AV6,0)</f>
        <v>12.341406811615029</v>
      </c>
      <c r="AX6">
        <f>IF(wshed_char_unis_excluded!DS6=1,0.278*(AH6/10000)/1000,0)</f>
        <v>4.918759983330001</v>
      </c>
    </row>
    <row r="7" spans="1:50" ht="12.75">
      <c r="A7" s="81" t="s">
        <v>692</v>
      </c>
      <c r="B7" s="81">
        <f>C3-D10</f>
        <v>4.6729</v>
      </c>
      <c r="C7" s="81">
        <f>C3+D10</f>
        <v>8.4031</v>
      </c>
      <c r="D7" s="81"/>
      <c r="E7">
        <v>5.438836626021589</v>
      </c>
      <c r="F7">
        <v>1.63684442813622</v>
      </c>
      <c r="G7" s="6">
        <v>18.22</v>
      </c>
      <c r="H7">
        <v>908.5473943577942</v>
      </c>
      <c r="I7">
        <f t="shared" si="3"/>
        <v>119.12236</v>
      </c>
      <c r="J7">
        <f t="shared" si="4"/>
        <v>85.140238</v>
      </c>
      <c r="K7">
        <f t="shared" si="5"/>
        <v>153.104482</v>
      </c>
      <c r="L7">
        <f t="shared" si="6"/>
        <v>242.25297536416056</v>
      </c>
      <c r="M7">
        <f t="shared" si="7"/>
        <v>167.6713047872334</v>
      </c>
      <c r="N7">
        <f t="shared" si="8"/>
        <v>316.83464594108773</v>
      </c>
      <c r="O7">
        <f t="shared" si="0"/>
        <v>0.579404332512069</v>
      </c>
      <c r="P7">
        <f t="shared" si="9"/>
        <v>0.41411723851264104</v>
      </c>
      <c r="Q7">
        <f t="shared" si="10"/>
        <v>0.7446914265114971</v>
      </c>
      <c r="R7">
        <f t="shared" si="11"/>
        <v>1.178304589414902</v>
      </c>
      <c r="S7">
        <f t="shared" si="12"/>
        <v>0.8155436177697845</v>
      </c>
      <c r="T7">
        <f t="shared" si="13"/>
        <v>1.5410655610600201</v>
      </c>
      <c r="U7">
        <f t="shared" si="14"/>
        <v>-0.10704808276205972</v>
      </c>
      <c r="V7" s="6">
        <f t="shared" si="1"/>
        <v>4.247336510496333</v>
      </c>
      <c r="W7" s="6">
        <f t="shared" si="15"/>
        <v>2.939722220190873</v>
      </c>
      <c r="X7" s="6">
        <f t="shared" si="16"/>
        <v>5.554950800801794</v>
      </c>
      <c r="Y7" s="6">
        <f t="shared" si="17"/>
        <v>1.798133760661307</v>
      </c>
      <c r="Z7" s="6">
        <f t="shared" si="18"/>
        <v>1.2445479085606317</v>
      </c>
      <c r="AA7" s="6">
        <f t="shared" si="19"/>
        <v>2.3517196127619835</v>
      </c>
      <c r="AB7">
        <f>IF(wshed_char_unis_excluded!DU7=1,Y7)</f>
        <v>1.798133760661307</v>
      </c>
      <c r="AC7">
        <f>IF(wshed_char_unis_excluded!DU7=1,Z7)</f>
        <v>1.2445479085606317</v>
      </c>
      <c r="AD7">
        <f>IF(wshed_char_unis_excluded!DU7=1,AA7)</f>
        <v>2.3517196127619835</v>
      </c>
      <c r="AE7" t="b">
        <f>IF(wshed_char_unis_excluded!DV7=1,Y7)</f>
        <v>0</v>
      </c>
      <c r="AF7" t="b">
        <f>IF(wshed_char_unis_excluded!DV7=1,Z7)</f>
        <v>0</v>
      </c>
      <c r="AG7" t="b">
        <f>IF(wshed_char_unis_excluded!DV7=1,AA7)</f>
        <v>0</v>
      </c>
      <c r="AH7" s="8">
        <v>6552930.683986224</v>
      </c>
      <c r="AI7" s="8" t="s">
        <v>57</v>
      </c>
      <c r="AJ7" s="228"/>
      <c r="AK7" s="228"/>
      <c r="AL7" s="228"/>
      <c r="AM7" s="7">
        <f t="shared" si="20"/>
        <v>1.4058856793261993</v>
      </c>
      <c r="AN7" s="7">
        <f t="shared" si="2"/>
        <v>0.9212671406233468</v>
      </c>
      <c r="AO7">
        <f>IF(wshed_char_unis_excluded!DS7=1,AN7,0)</f>
        <v>0.9212671406233468</v>
      </c>
      <c r="AP7">
        <f>IF(wshed_char_unis_excluded!DS7=1,0.831*(AH7/10000)/1000,0)</f>
        <v>0.5445485398392552</v>
      </c>
      <c r="AQ7">
        <f t="shared" si="21"/>
        <v>0.5074217727222282</v>
      </c>
      <c r="AR7" s="56">
        <f t="shared" si="22"/>
        <v>0.3325099704194173</v>
      </c>
      <c r="AS7">
        <f>IF(wshed_char_unis_excluded!DS7=1,AR7,0)</f>
        <v>0.3325099704194173</v>
      </c>
      <c r="AT7">
        <f>IF(wshed_char_unis_excluded!DS7=1,1.3384*(AH7/10000)/1000,0)</f>
        <v>0.8770442427447163</v>
      </c>
      <c r="AU7">
        <f t="shared" si="23"/>
        <v>2.301403265959525</v>
      </c>
      <c r="AV7" s="56">
        <f t="shared" si="24"/>
        <v>1.508093607773228</v>
      </c>
      <c r="AW7">
        <f>IF(wshed_char_unis_excluded!DS7=1,AV7,0)</f>
        <v>1.508093607773228</v>
      </c>
      <c r="AX7">
        <f>IF(wshed_char_unis_excluded!DS7=1,0.278*(AH7/10000)/1000,0)</f>
        <v>0.18217147301481704</v>
      </c>
    </row>
    <row r="8" spans="1:50" ht="12.75">
      <c r="A8" s="81" t="s">
        <v>693</v>
      </c>
      <c r="B8" s="81">
        <f>C4-D11</f>
        <v>102.4357</v>
      </c>
      <c r="C8" s="81">
        <f>C4+D11</f>
        <v>193.5643</v>
      </c>
      <c r="D8" s="81"/>
      <c r="E8">
        <v>45.62832951611364</v>
      </c>
      <c r="F8">
        <v>0.522086073594901</v>
      </c>
      <c r="G8" s="6">
        <v>7.85</v>
      </c>
      <c r="H8">
        <v>121.82741731970555</v>
      </c>
      <c r="I8">
        <f t="shared" si="3"/>
        <v>51.323299999999996</v>
      </c>
      <c r="J8">
        <f t="shared" si="4"/>
        <v>36.682265</v>
      </c>
      <c r="K8">
        <f t="shared" si="5"/>
        <v>65.964335</v>
      </c>
      <c r="L8">
        <f t="shared" si="6"/>
        <v>77.26873889204535</v>
      </c>
      <c r="M8">
        <f t="shared" si="7"/>
        <v>53.4802524089452</v>
      </c>
      <c r="N8">
        <f t="shared" si="8"/>
        <v>101.05722537514549</v>
      </c>
      <c r="O8">
        <f t="shared" si="0"/>
        <v>2.0942647273803874</v>
      </c>
      <c r="P8">
        <f t="shared" si="9"/>
        <v>1.4968323102746734</v>
      </c>
      <c r="Q8">
        <f t="shared" si="10"/>
        <v>2.691697144486102</v>
      </c>
      <c r="R8">
        <f t="shared" si="11"/>
        <v>3.1529771934146034</v>
      </c>
      <c r="S8">
        <f t="shared" si="12"/>
        <v>2.182279904672029</v>
      </c>
      <c r="T8">
        <f t="shared" si="13"/>
        <v>4.123674482157177</v>
      </c>
      <c r="U8">
        <f t="shared" si="14"/>
        <v>-0.8980643343773932</v>
      </c>
      <c r="V8" s="6">
        <f t="shared" si="1"/>
        <v>23.39541877890766</v>
      </c>
      <c r="W8" s="6">
        <f t="shared" si="15"/>
        <v>16.19274391493616</v>
      </c>
      <c r="X8" s="6">
        <f t="shared" si="16"/>
        <v>30.598093642879157</v>
      </c>
      <c r="Y8" s="6">
        <f t="shared" si="17"/>
        <v>0.5444710304123114</v>
      </c>
      <c r="Z8" s="6">
        <f t="shared" si="18"/>
        <v>0.37684642655409734</v>
      </c>
      <c r="AA8" s="6">
        <f t="shared" si="19"/>
        <v>0.7120956342705251</v>
      </c>
      <c r="AB8">
        <f>IF(wshed_char_unis_excluded!DU8=1,Y8)</f>
        <v>0.5444710304123114</v>
      </c>
      <c r="AC8">
        <f>IF(wshed_char_unis_excluded!DU8=1,Z8)</f>
        <v>0.37684642655409734</v>
      </c>
      <c r="AD8">
        <f>IF(wshed_char_unis_excluded!DU8=1,AA8)</f>
        <v>0.7120956342705251</v>
      </c>
      <c r="AE8" t="b">
        <f>IF(wshed_char_unis_excluded!DV8=1,Y8)</f>
        <v>0</v>
      </c>
      <c r="AF8" t="b">
        <f>IF(wshed_char_unis_excluded!DV8=1,Z8)</f>
        <v>0</v>
      </c>
      <c r="AG8" t="b">
        <f>IF(wshed_char_unis_excluded!DV8=1,AA8)</f>
        <v>0</v>
      </c>
      <c r="AH8" s="8">
        <v>57908998.2258</v>
      </c>
      <c r="AI8" s="8" t="s">
        <v>58</v>
      </c>
      <c r="AJ8" s="228"/>
      <c r="AK8" s="228"/>
      <c r="AL8" s="228"/>
      <c r="AM8" s="7">
        <f t="shared" si="20"/>
        <v>0.4484197286106605</v>
      </c>
      <c r="AN8" s="7">
        <f t="shared" si="2"/>
        <v>2.5967537268528456</v>
      </c>
      <c r="AO8">
        <f>IF(wshed_char_unis_excluded!DS8=1,AN8,0)</f>
        <v>2.5967537268528456</v>
      </c>
      <c r="AP8">
        <f>IF(wshed_char_unis_excluded!DS8=1,0.831*(AH8/10000)/1000,0)</f>
        <v>4.81223775256398</v>
      </c>
      <c r="AQ8">
        <f t="shared" si="21"/>
        <v>0.1618466828144193</v>
      </c>
      <c r="AR8" s="56">
        <f t="shared" si="22"/>
        <v>0.9372379267951823</v>
      </c>
      <c r="AS8">
        <f>IF(wshed_char_unis_excluded!DS8=1,AR8,0)</f>
        <v>0.9372379267951823</v>
      </c>
      <c r="AT8">
        <f>IF(wshed_char_unis_excluded!DS8=1,1.3384*(AH8/10000)/1000,0)</f>
        <v>7.750540322541072</v>
      </c>
      <c r="AU8">
        <f t="shared" si="23"/>
        <v>0.7340530194744308</v>
      </c>
      <c r="AV8" s="56">
        <f t="shared" si="24"/>
        <v>4.2508275002387945</v>
      </c>
      <c r="AW8">
        <f>IF(wshed_char_unis_excluded!DS8=1,AV8,0)</f>
        <v>4.2508275002387945</v>
      </c>
      <c r="AX8">
        <f>IF(wshed_char_unis_excluded!DS8=1,0.278*(AH8/10000)/1000,0)</f>
        <v>1.60987015067724</v>
      </c>
    </row>
    <row r="9" spans="1:50" ht="12.75">
      <c r="A9" s="81"/>
      <c r="B9" s="81"/>
      <c r="C9" s="81"/>
      <c r="D9" s="81"/>
      <c r="E9">
        <v>636.183383277915</v>
      </c>
      <c r="F9">
        <v>0.267689332962486</v>
      </c>
      <c r="G9" s="6">
        <v>5.93</v>
      </c>
      <c r="H9">
        <v>40.695909354568784</v>
      </c>
      <c r="I9">
        <f t="shared" si="3"/>
        <v>38.77034</v>
      </c>
      <c r="J9">
        <f t="shared" si="4"/>
        <v>27.710297</v>
      </c>
      <c r="K9">
        <f t="shared" si="5"/>
        <v>49.830383</v>
      </c>
      <c r="L9">
        <f t="shared" si="6"/>
        <v>39.61802127844793</v>
      </c>
      <c r="M9">
        <f t="shared" si="7"/>
        <v>27.420944204545325</v>
      </c>
      <c r="N9">
        <f t="shared" si="8"/>
        <v>51.815098352350525</v>
      </c>
      <c r="O9">
        <f t="shared" si="0"/>
        <v>22.05791033401394</v>
      </c>
      <c r="P9">
        <f t="shared" si="9"/>
        <v>15.765434261213485</v>
      </c>
      <c r="Q9">
        <f t="shared" si="10"/>
        <v>28.350386406814405</v>
      </c>
      <c r="R9">
        <f t="shared" si="11"/>
        <v>22.54018822045566</v>
      </c>
      <c r="S9">
        <f t="shared" si="12"/>
        <v>15.60081053036574</v>
      </c>
      <c r="T9">
        <f t="shared" si="13"/>
        <v>29.479565910545578</v>
      </c>
      <c r="U9">
        <f t="shared" si="14"/>
        <v>-12.52146665688632</v>
      </c>
      <c r="V9" s="6">
        <f t="shared" si="1"/>
        <v>88.48728141568891</v>
      </c>
      <c r="W9" s="6">
        <f t="shared" si="15"/>
        <v>61.24497711427759</v>
      </c>
      <c r="X9" s="6">
        <f t="shared" si="16"/>
        <v>115.72958571710022</v>
      </c>
      <c r="Y9" s="6">
        <f t="shared" si="17"/>
        <v>0.7540940960001431</v>
      </c>
      <c r="Z9" s="6">
        <f t="shared" si="18"/>
        <v>0.521933490470553</v>
      </c>
      <c r="AA9" s="6">
        <f t="shared" si="19"/>
        <v>0.9862547015297332</v>
      </c>
      <c r="AB9" t="b">
        <f>IF(wshed_char_unis_excluded!DU9=1,Y9)</f>
        <v>0</v>
      </c>
      <c r="AC9" t="b">
        <f>IF(wshed_char_unis_excluded!DU9=1,Z9)</f>
        <v>0</v>
      </c>
      <c r="AD9" t="b">
        <f>IF(wshed_char_unis_excluded!DU9=1,AA9)</f>
        <v>0</v>
      </c>
      <c r="AE9">
        <f>IF(wshed_char_unis_excluded!DV9=1,Y9)</f>
        <v>0.7540940960001431</v>
      </c>
      <c r="AF9">
        <f>IF(wshed_char_unis_excluded!DV9=1,Z9)</f>
        <v>0.521933490470553</v>
      </c>
      <c r="AG9">
        <f>IF(wshed_char_unis_excluded!DV9=1,AA9)</f>
        <v>0.9862547015297332</v>
      </c>
      <c r="AH9" s="8">
        <v>298904186.361</v>
      </c>
      <c r="AI9" s="8" t="s">
        <v>69</v>
      </c>
      <c r="AJ9" s="228"/>
      <c r="AK9" s="228"/>
      <c r="AL9" s="228"/>
      <c r="AM9" s="7">
        <f t="shared" si="20"/>
        <v>0.2299183680814792</v>
      </c>
      <c r="AN9" s="7">
        <f t="shared" si="2"/>
        <v>6.872356274084345</v>
      </c>
      <c r="AO9">
        <f>IF(wshed_char_unis_excluded!DS9=1,AN9,0)</f>
        <v>6.872356274084345</v>
      </c>
      <c r="AP9">
        <f>IF(wshed_char_unis_excluded!DS9=1,0.831*(AH9/10000)/1000,0)</f>
        <v>24.838937886599098</v>
      </c>
      <c r="AQ9">
        <f t="shared" si="21"/>
        <v>0.08298369321837065</v>
      </c>
      <c r="AR9" s="56">
        <f t="shared" si="22"/>
        <v>2.4804173302667913</v>
      </c>
      <c r="AS9">
        <f>IF(wshed_char_unis_excluded!DS9=1,AR9,0)</f>
        <v>2.4804173302667913</v>
      </c>
      <c r="AT9">
        <f>IF(wshed_char_unis_excluded!DS9=1,1.3384*(AH9/10000)/1000,0)</f>
        <v>40.005336302556245</v>
      </c>
      <c r="AU9">
        <f t="shared" si="23"/>
        <v>0.37637120214525527</v>
      </c>
      <c r="AV9" s="56">
        <f t="shared" si="24"/>
        <v>11.2498927946939</v>
      </c>
      <c r="AW9">
        <f>IF(wshed_char_unis_excluded!DS9=1,AV9,0)</f>
        <v>11.2498927946939</v>
      </c>
      <c r="AX9">
        <f>IF(wshed_char_unis_excluded!DS9=1,0.278*(AH9/10000)/1000,0)</f>
        <v>8.3095363808358</v>
      </c>
    </row>
    <row r="10" spans="1:50" ht="12.75">
      <c r="A10" s="81"/>
      <c r="B10" s="81"/>
      <c r="C10" s="81"/>
      <c r="D10" s="81">
        <v>1.8651</v>
      </c>
      <c r="E10">
        <v>457.7152983072502</v>
      </c>
      <c r="F10">
        <v>0.338628131979331</v>
      </c>
      <c r="G10" s="6">
        <v>4.69</v>
      </c>
      <c r="H10">
        <v>48.85949068938091</v>
      </c>
      <c r="I10">
        <f t="shared" si="3"/>
        <v>30.663220000000003</v>
      </c>
      <c r="J10">
        <f t="shared" si="4"/>
        <v>21.915901</v>
      </c>
      <c r="K10">
        <f t="shared" si="5"/>
        <v>39.41053900000001</v>
      </c>
      <c r="L10">
        <f t="shared" si="6"/>
        <v>50.116963532940986</v>
      </c>
      <c r="M10">
        <f t="shared" si="7"/>
        <v>34.68760973899516</v>
      </c>
      <c r="N10">
        <f t="shared" si="8"/>
        <v>65.54631732688682</v>
      </c>
      <c r="O10">
        <f t="shared" si="0"/>
        <v>12.551499788041227</v>
      </c>
      <c r="P10">
        <f t="shared" si="9"/>
        <v>8.970924343765349</v>
      </c>
      <c r="Q10">
        <f t="shared" si="10"/>
        <v>16.132075232317106</v>
      </c>
      <c r="R10">
        <f t="shared" si="11"/>
        <v>20.514579263396953</v>
      </c>
      <c r="S10">
        <f t="shared" si="12"/>
        <v>14.198819507105075</v>
      </c>
      <c r="T10">
        <f t="shared" si="13"/>
        <v>26.830339019688832</v>
      </c>
      <c r="U10">
        <f t="shared" si="14"/>
        <v>-9.008828266734719</v>
      </c>
      <c r="V10" s="6">
        <f t="shared" si="1"/>
        <v>86.90482535392567</v>
      </c>
      <c r="W10" s="6">
        <f t="shared" si="15"/>
        <v>60.14970688180488</v>
      </c>
      <c r="X10" s="6">
        <f t="shared" si="16"/>
        <v>113.65994382604646</v>
      </c>
      <c r="Y10" s="6">
        <f t="shared" si="17"/>
        <v>1.0262258261715484</v>
      </c>
      <c r="Z10" s="6">
        <f t="shared" si="18"/>
        <v>0.7102848706889249</v>
      </c>
      <c r="AA10" s="6">
        <f t="shared" si="19"/>
        <v>1.3421667816541722</v>
      </c>
      <c r="AB10" t="b">
        <f>IF(wshed_char_unis_excluded!DU10=1,Y10)</f>
        <v>0</v>
      </c>
      <c r="AC10" t="b">
        <f>IF(wshed_char_unis_excluded!DU10=1,Z10)</f>
        <v>0</v>
      </c>
      <c r="AD10" t="b">
        <f>IF(wshed_char_unis_excluded!DU10=1,AA10)</f>
        <v>0</v>
      </c>
      <c r="AE10">
        <f>IF(wshed_char_unis_excluded!DV10=1,Y10)</f>
        <v>1.0262258261715484</v>
      </c>
      <c r="AF10">
        <f>IF(wshed_char_unis_excluded!DV10=1,Z10)</f>
        <v>0.7102848706889249</v>
      </c>
      <c r="AG10">
        <f>IF(wshed_char_unis_excluded!DV10=1,AA10)</f>
        <v>1.3421667816541722</v>
      </c>
      <c r="AH10" s="8">
        <v>199903166.927</v>
      </c>
      <c r="AI10" s="8"/>
      <c r="AJ10" s="228"/>
      <c r="AK10" s="228"/>
      <c r="AL10" s="228"/>
      <c r="AM10" s="7">
        <f t="shared" si="20"/>
        <v>0.2908477025570474</v>
      </c>
      <c r="AN10" s="7">
        <f t="shared" si="2"/>
        <v>5.814137683459588</v>
      </c>
      <c r="AO10">
        <f>IF(wshed_char_unis_excluded!DS10=1,AN10,0)</f>
        <v>5.814137683459588</v>
      </c>
      <c r="AP10">
        <f>IF(wshed_char_unis_excluded!DS10=1,0.831*(AH10/10000)/1000,0)</f>
        <v>16.611953171633697</v>
      </c>
      <c r="AQ10">
        <f t="shared" si="21"/>
        <v>0.10497472091359261</v>
      </c>
      <c r="AR10" s="56">
        <f t="shared" si="22"/>
        <v>2.098477915790514</v>
      </c>
      <c r="AS10">
        <f>IF(wshed_char_unis_excluded!DS10=1,AR10,0)</f>
        <v>2.098477915790514</v>
      </c>
      <c r="AT10">
        <f>IF(wshed_char_unis_excluded!DS10=1,1.3384*(AH10/10000)/1000,0)</f>
        <v>26.75503986150968</v>
      </c>
      <c r="AU10">
        <f t="shared" si="23"/>
        <v>0.47611115356293937</v>
      </c>
      <c r="AV10" s="56">
        <f t="shared" si="24"/>
        <v>9.51761274064988</v>
      </c>
      <c r="AW10">
        <f>IF(wshed_char_unis_excluded!DS10=1,AV10,0)</f>
        <v>9.51761274064988</v>
      </c>
      <c r="AX10">
        <f>IF(wshed_char_unis_excluded!DS10=1,0.278*(AH10/10000)/1000,0)</f>
        <v>5.5573080405706</v>
      </c>
    </row>
    <row r="11" spans="1:50" ht="12.75">
      <c r="A11" s="81"/>
      <c r="B11" s="81"/>
      <c r="C11" s="81"/>
      <c r="D11" s="81">
        <v>45.5643</v>
      </c>
      <c r="E11">
        <v>12.096882000777624</v>
      </c>
      <c r="F11">
        <v>0.493869852160675</v>
      </c>
      <c r="G11" s="6">
        <v>7.85</v>
      </c>
      <c r="H11">
        <v>88.33311321540093</v>
      </c>
      <c r="I11">
        <f t="shared" si="3"/>
        <v>51.323299999999996</v>
      </c>
      <c r="J11">
        <f t="shared" si="4"/>
        <v>36.682265</v>
      </c>
      <c r="K11">
        <f t="shared" si="5"/>
        <v>65.964335</v>
      </c>
      <c r="L11">
        <f t="shared" si="6"/>
        <v>73.09273811977991</v>
      </c>
      <c r="M11">
        <f t="shared" si="7"/>
        <v>50.58990401497526</v>
      </c>
      <c r="N11">
        <f t="shared" si="8"/>
        <v>95.59557222458454</v>
      </c>
      <c r="O11">
        <f t="shared" si="0"/>
        <v>0.5552268416174331</v>
      </c>
      <c r="P11">
        <f t="shared" si="9"/>
        <v>0.39683687797401385</v>
      </c>
      <c r="Q11">
        <f t="shared" si="10"/>
        <v>0.7136168052608521</v>
      </c>
      <c r="R11">
        <f t="shared" si="11"/>
        <v>0.7907334511112019</v>
      </c>
      <c r="S11">
        <f t="shared" si="12"/>
        <v>0.5472928012026469</v>
      </c>
      <c r="T11">
        <f t="shared" si="13"/>
        <v>1.034174101019757</v>
      </c>
      <c r="U11">
        <f t="shared" si="14"/>
        <v>-0.23809283393190372</v>
      </c>
      <c r="V11" s="6">
        <f t="shared" si="1"/>
        <v>25.615943966438703</v>
      </c>
      <c r="W11" s="6">
        <f t="shared" si="15"/>
        <v>17.729642914614356</v>
      </c>
      <c r="X11" s="6">
        <f t="shared" si="16"/>
        <v>33.502245018263054</v>
      </c>
      <c r="Y11" s="6">
        <f t="shared" si="17"/>
        <v>0.5425341830156685</v>
      </c>
      <c r="Z11" s="6">
        <f t="shared" si="18"/>
        <v>0.3755058703455278</v>
      </c>
      <c r="AA11" s="6">
        <f t="shared" si="19"/>
        <v>0.7095624956858093</v>
      </c>
      <c r="AB11">
        <f>IF(wshed_char_unis_excluded!DU11=1,Y11)</f>
        <v>0.5425341830156685</v>
      </c>
      <c r="AC11">
        <f>IF(wshed_char_unis_excluded!DU11=1,Z11)</f>
        <v>0.3755058703455278</v>
      </c>
      <c r="AD11">
        <f>IF(wshed_char_unis_excluded!DU11=1,AA11)</f>
        <v>0.7095624956858093</v>
      </c>
      <c r="AE11" t="b">
        <f>IF(wshed_char_unis_excluded!DV11=1,Y11)</f>
        <v>0</v>
      </c>
      <c r="AF11" t="b">
        <f>IF(wshed_char_unis_excluded!DV11=1,Z11)</f>
        <v>0</v>
      </c>
      <c r="AG11" t="b">
        <f>IF(wshed_char_unis_excluded!DV11=1,AA11)</f>
        <v>0</v>
      </c>
      <c r="AH11" s="8">
        <v>14574813.456286224</v>
      </c>
      <c r="AI11" s="8"/>
      <c r="AJ11" s="228"/>
      <c r="AK11" s="228"/>
      <c r="AL11" s="228"/>
      <c r="AM11" s="7">
        <f t="shared" si="20"/>
        <v>0.42418481602080377</v>
      </c>
      <c r="AN11" s="7">
        <f t="shared" si="2"/>
        <v>0.6182414564492307</v>
      </c>
      <c r="AO11">
        <f>IF(wshed_char_unis_excluded!DS11=1,AN11,0)</f>
        <v>0.6182414564492307</v>
      </c>
      <c r="AP11">
        <f>IF(wshed_char_unis_excluded!DS11=1,0.831*(AH11/10000)/1000,0)</f>
        <v>1.2111669982173852</v>
      </c>
      <c r="AQ11">
        <f t="shared" si="21"/>
        <v>0.15309965416980925</v>
      </c>
      <c r="AR11" s="56">
        <f t="shared" si="22"/>
        <v>0.22313988997469034</v>
      </c>
      <c r="AS11">
        <f>IF(wshed_char_unis_excluded!DS11=1,AR11,0)</f>
        <v>0.22313988997469034</v>
      </c>
      <c r="AT11">
        <f>IF(wshed_char_unis_excluded!DS11=1,1.3384*(AH11/10000)/1000,0)</f>
        <v>1.9506930329893482</v>
      </c>
      <c r="AU11">
        <f t="shared" si="23"/>
        <v>0.694381012137909</v>
      </c>
      <c r="AV11" s="56">
        <f t="shared" si="24"/>
        <v>1.0120473719497245</v>
      </c>
      <c r="AW11">
        <f>IF(wshed_char_unis_excluded!DS11=1,AV11,0)</f>
        <v>1.0120473719497245</v>
      </c>
      <c r="AX11">
        <f>IF(wshed_char_unis_excluded!DS11=1,0.278*(AH11/10000)/1000,0)</f>
        <v>0.40517981408475706</v>
      </c>
    </row>
    <row r="12" spans="1:50" ht="12.75">
      <c r="A12" s="81"/>
      <c r="B12" s="81"/>
      <c r="C12" s="81"/>
      <c r="D12" s="81"/>
      <c r="E12">
        <v>1.517628256770317</v>
      </c>
      <c r="F12">
        <v>0</v>
      </c>
      <c r="G12" s="6">
        <v>11.546380866902487</v>
      </c>
      <c r="H12">
        <v>54.75166088350681</v>
      </c>
      <c r="I12">
        <f t="shared" si="3"/>
        <v>75.49023810780847</v>
      </c>
      <c r="J12">
        <f t="shared" si="4"/>
        <v>53.95508315294863</v>
      </c>
      <c r="K12">
        <f t="shared" si="5"/>
        <v>97.02539306266829</v>
      </c>
      <c r="L12">
        <f t="shared" si="6"/>
        <v>0</v>
      </c>
      <c r="M12">
        <f t="shared" si="7"/>
        <v>0</v>
      </c>
      <c r="N12">
        <f t="shared" si="8"/>
        <v>0</v>
      </c>
      <c r="O12">
        <f t="shared" si="0"/>
        <v>0.10245629223584095</v>
      </c>
      <c r="P12">
        <f t="shared" si="9"/>
        <v>0.07322851146969427</v>
      </c>
      <c r="Q12">
        <f t="shared" si="10"/>
        <v>0.13168407300198762</v>
      </c>
      <c r="R12">
        <f t="shared" si="11"/>
        <v>0</v>
      </c>
      <c r="S12">
        <f t="shared" si="12"/>
        <v>0</v>
      </c>
      <c r="T12">
        <f t="shared" si="13"/>
        <v>0</v>
      </c>
      <c r="U12">
        <v>0</v>
      </c>
      <c r="V12" s="6">
        <v>0</v>
      </c>
      <c r="W12" s="6" t="e">
        <f t="shared" si="15"/>
        <v>#DIV/0!</v>
      </c>
      <c r="X12" s="6" t="e">
        <f t="shared" si="16"/>
        <v>#DIV/0!</v>
      </c>
      <c r="Y12" s="6">
        <f t="shared" si="17"/>
        <v>0</v>
      </c>
      <c r="Z12" s="6">
        <f t="shared" si="18"/>
        <v>0</v>
      </c>
      <c r="AA12" s="6">
        <f t="shared" si="19"/>
        <v>0</v>
      </c>
      <c r="AB12">
        <f>IF(wshed_char_unis_excluded!DU12=1,Y12)</f>
        <v>0</v>
      </c>
      <c r="AC12">
        <f>IF(wshed_char_unis_excluded!DU12=1,Z12)</f>
        <v>0</v>
      </c>
      <c r="AD12">
        <f>IF(wshed_char_unis_excluded!DU12=1,AA12)</f>
        <v>0</v>
      </c>
      <c r="AE12" t="b">
        <f>IF(wshed_char_unis_excluded!DV12=1,Y12)</f>
        <v>0</v>
      </c>
      <c r="AF12" t="b">
        <f>IF(wshed_char_unis_excluded!DV12=1,Z12)</f>
        <v>0</v>
      </c>
      <c r="AG12" t="b">
        <f>IF(wshed_char_unis_excluded!DV12=1,AA12)</f>
        <v>0</v>
      </c>
      <c r="AH12" s="8">
        <v>1828500</v>
      </c>
      <c r="AI12" s="8"/>
      <c r="AJ12" s="8"/>
      <c r="AK12" s="8"/>
      <c r="AL12" s="8"/>
      <c r="AM12" s="7">
        <f t="shared" si="20"/>
        <v>0</v>
      </c>
      <c r="AN12" s="7">
        <f t="shared" si="2"/>
        <v>0</v>
      </c>
      <c r="AO12">
        <f>IF(wshed_char_unis_excluded!DS12=1,AN12,0)</f>
        <v>0</v>
      </c>
      <c r="AP12">
        <f>IF(wshed_char_unis_excluded!DS12=1,0.831*(AH12/10000)/1000,0)</f>
        <v>0.15194834999999998</v>
      </c>
      <c r="AQ12">
        <f t="shared" si="21"/>
        <v>0</v>
      </c>
      <c r="AR12" s="56">
        <f t="shared" si="22"/>
        <v>0</v>
      </c>
      <c r="AS12">
        <f>IF(wshed_char_unis_excluded!DS12=1,AR12,0)</f>
        <v>0</v>
      </c>
      <c r="AT12">
        <f>IF(wshed_char_unis_excluded!DS12=1,1.3384*(AH12/10000)/1000,0)</f>
        <v>0.24472644</v>
      </c>
      <c r="AU12">
        <f t="shared" si="23"/>
        <v>0</v>
      </c>
      <c r="AV12" s="56">
        <f t="shared" si="24"/>
        <v>0</v>
      </c>
      <c r="AW12">
        <f>IF(wshed_char_unis_excluded!DS12=1,AV12,0)</f>
        <v>0</v>
      </c>
      <c r="AX12">
        <f>IF(wshed_char_unis_excluded!DS12=1,0.278*(AH12/10000)/1000,0)</f>
        <v>0.050832300000000004</v>
      </c>
    </row>
    <row r="13" spans="1:50" ht="12.75">
      <c r="A13" s="81"/>
      <c r="B13" s="81"/>
      <c r="C13" s="81"/>
      <c r="D13" s="81"/>
      <c r="E13">
        <v>1.517628256770317</v>
      </c>
      <c r="F13">
        <v>0</v>
      </c>
      <c r="G13" s="6">
        <v>11.546380866902487</v>
      </c>
      <c r="H13">
        <v>46.11959434696585</v>
      </c>
      <c r="I13">
        <f t="shared" si="3"/>
        <v>75.49023810780847</v>
      </c>
      <c r="J13">
        <f t="shared" si="4"/>
        <v>53.95508315294863</v>
      </c>
      <c r="K13">
        <f t="shared" si="5"/>
        <v>97.02539306266829</v>
      </c>
      <c r="L13">
        <f t="shared" si="6"/>
        <v>0</v>
      </c>
      <c r="M13">
        <f t="shared" si="7"/>
        <v>0</v>
      </c>
      <c r="N13">
        <f t="shared" si="8"/>
        <v>0</v>
      </c>
      <c r="O13">
        <f t="shared" si="0"/>
        <v>0.10245629223584095</v>
      </c>
      <c r="P13">
        <f t="shared" si="9"/>
        <v>0.07322851146969427</v>
      </c>
      <c r="Q13">
        <f t="shared" si="10"/>
        <v>0.13168407300198762</v>
      </c>
      <c r="R13">
        <f t="shared" si="11"/>
        <v>0</v>
      </c>
      <c r="S13">
        <f t="shared" si="12"/>
        <v>0</v>
      </c>
      <c r="T13">
        <f t="shared" si="13"/>
        <v>0</v>
      </c>
      <c r="U13">
        <v>0</v>
      </c>
      <c r="V13" s="6">
        <v>0</v>
      </c>
      <c r="W13" s="6" t="e">
        <f t="shared" si="15"/>
        <v>#DIV/0!</v>
      </c>
      <c r="X13" s="6" t="e">
        <f t="shared" si="16"/>
        <v>#DIV/0!</v>
      </c>
      <c r="Y13" s="6">
        <f t="shared" si="17"/>
        <v>0</v>
      </c>
      <c r="Z13" s="6">
        <f t="shared" si="18"/>
        <v>0</v>
      </c>
      <c r="AA13" s="6">
        <f t="shared" si="19"/>
        <v>0</v>
      </c>
      <c r="AB13" t="b">
        <f>IF(wshed_char_unis_excluded!DU13=1,Y13)</f>
        <v>0</v>
      </c>
      <c r="AC13" t="b">
        <f>IF(wshed_char_unis_excluded!DU13=1,Z13)</f>
        <v>0</v>
      </c>
      <c r="AD13" t="b">
        <f>IF(wshed_char_unis_excluded!DU13=1,AA13)</f>
        <v>0</v>
      </c>
      <c r="AE13" t="b">
        <f>IF(wshed_char_unis_excluded!DV13=1,Y13)</f>
        <v>0</v>
      </c>
      <c r="AF13" t="b">
        <f>IF(wshed_char_unis_excluded!DV13=1,Z13)</f>
        <v>0</v>
      </c>
      <c r="AG13" t="b">
        <f>IF(wshed_char_unis_excluded!DV13=1,AA13)</f>
        <v>0</v>
      </c>
      <c r="AH13" s="8">
        <v>1828500</v>
      </c>
      <c r="AI13" s="8"/>
      <c r="AJ13" s="8"/>
      <c r="AK13" s="8"/>
      <c r="AL13" s="8"/>
      <c r="AM13" s="7">
        <f t="shared" si="20"/>
        <v>0</v>
      </c>
      <c r="AN13" s="7">
        <f t="shared" si="2"/>
        <v>0</v>
      </c>
      <c r="AO13">
        <f>IF(wshed_char_unis_excluded!DS13=1,AN13,0)</f>
        <v>0</v>
      </c>
      <c r="AP13">
        <f>IF(wshed_char_unis_excluded!DS13=1,0.831*(AH13/10000)/1000,0)</f>
        <v>0</v>
      </c>
      <c r="AQ13">
        <f t="shared" si="21"/>
        <v>0</v>
      </c>
      <c r="AR13" s="56">
        <f t="shared" si="22"/>
        <v>0</v>
      </c>
      <c r="AS13">
        <f>IF(wshed_char_unis_excluded!DS13=1,AR13,0)</f>
        <v>0</v>
      </c>
      <c r="AT13">
        <f>IF(wshed_char_unis_excluded!DS13=1,1.3384*(AH13/10000)/1000,0)</f>
        <v>0</v>
      </c>
      <c r="AU13">
        <f t="shared" si="23"/>
        <v>0</v>
      </c>
      <c r="AV13" s="56">
        <f t="shared" si="24"/>
        <v>0</v>
      </c>
      <c r="AW13">
        <f>IF(wshed_char_unis_excluded!DS13=1,AV13,0)</f>
        <v>0</v>
      </c>
      <c r="AX13">
        <f>IF(wshed_char_unis_excluded!DS13=1,0.278*(AH13/10000)/1000,0)</f>
        <v>0</v>
      </c>
    </row>
    <row r="14" spans="1:50" ht="12.75">
      <c r="A14" s="81"/>
      <c r="B14" s="81"/>
      <c r="C14" s="81"/>
      <c r="D14" s="81"/>
      <c r="E14">
        <v>7.191878249002816</v>
      </c>
      <c r="F14">
        <v>1.2551802571107</v>
      </c>
      <c r="G14" s="6">
        <v>18.71</v>
      </c>
      <c r="H14">
        <v>128.59098303668637</v>
      </c>
      <c r="I14">
        <f t="shared" si="3"/>
        <v>122.32598000000002</v>
      </c>
      <c r="J14">
        <f t="shared" si="4"/>
        <v>87.42995900000001</v>
      </c>
      <c r="K14">
        <f t="shared" si="5"/>
        <v>157.222001</v>
      </c>
      <c r="L14">
        <f t="shared" si="6"/>
        <v>185.7666780523836</v>
      </c>
      <c r="M14">
        <f t="shared" si="7"/>
        <v>128.57526826331454</v>
      </c>
      <c r="N14">
        <f t="shared" si="8"/>
        <v>242.95808784145268</v>
      </c>
      <c r="O14">
        <f t="shared" si="0"/>
        <v>0.7867621642479734</v>
      </c>
      <c r="P14">
        <f t="shared" si="9"/>
        <v>0.5623219512564017</v>
      </c>
      <c r="Q14">
        <f t="shared" si="10"/>
        <v>1.011202377239545</v>
      </c>
      <c r="R14">
        <f t="shared" si="11"/>
        <v>1.1947927469671593</v>
      </c>
      <c r="S14">
        <f t="shared" si="12"/>
        <v>0.8269556175034044</v>
      </c>
      <c r="T14">
        <f t="shared" si="13"/>
        <v>1.5626298764309146</v>
      </c>
      <c r="U14">
        <f t="shared" si="14"/>
        <v>-0.14155173816593597</v>
      </c>
      <c r="V14" s="6">
        <f aca="true" t="shared" si="25" ref="V14:V29">R14/((10^F14-1)*(AH14/1000000))*1000</f>
        <v>8.11277523352664</v>
      </c>
      <c r="W14" s="6">
        <f t="shared" si="15"/>
        <v>5.615120337763277</v>
      </c>
      <c r="X14" s="6">
        <f t="shared" si="16"/>
        <v>10.610430129290009</v>
      </c>
      <c r="Y14" s="6">
        <f t="shared" si="17"/>
        <v>1.37886164208952</v>
      </c>
      <c r="Z14" s="6">
        <f t="shared" si="18"/>
        <v>0.9543557939904692</v>
      </c>
      <c r="AA14" s="6">
        <f t="shared" si="19"/>
        <v>1.8033674901885708</v>
      </c>
      <c r="AB14">
        <f>IF(wshed_char_unis_excluded!DU14=1,Y14)</f>
        <v>1.37886164208952</v>
      </c>
      <c r="AC14">
        <f>IF(wshed_char_unis_excluded!DU14=1,Z14)</f>
        <v>0.9543557939904692</v>
      </c>
      <c r="AD14">
        <f>IF(wshed_char_unis_excluded!DU14=1,AA14)</f>
        <v>1.8033674901885708</v>
      </c>
      <c r="AE14" t="b">
        <f>IF(wshed_char_unis_excluded!DV14=1,Y14)</f>
        <v>0</v>
      </c>
      <c r="AF14" t="b">
        <f>IF(wshed_char_unis_excluded!DV14=1,Z14)</f>
        <v>0</v>
      </c>
      <c r="AG14" t="b">
        <f>IF(wshed_char_unis_excluded!DV14=1,AA14)</f>
        <v>0</v>
      </c>
      <c r="AH14" s="8">
        <v>8665066.24375</v>
      </c>
      <c r="AI14" s="8"/>
      <c r="AJ14" s="8"/>
      <c r="AK14" s="8"/>
      <c r="AL14" s="8"/>
      <c r="AM14" s="7">
        <f t="shared" si="20"/>
        <v>1.0780743228323801</v>
      </c>
      <c r="AN14" s="7">
        <f t="shared" si="2"/>
        <v>0.9341585423028497</v>
      </c>
      <c r="AO14">
        <f>IF(wshed_char_unis_excluded!DS14=1,AN14,0)</f>
        <v>0.9341585423028497</v>
      </c>
      <c r="AP14">
        <f>IF(wshed_char_unis_excluded!DS14=1,0.831*(AH14/10000)/1000,0)</f>
        <v>0.720067004855625</v>
      </c>
      <c r="AQ14">
        <f t="shared" si="21"/>
        <v>0.389105879704317</v>
      </c>
      <c r="AR14" s="56">
        <f t="shared" si="22"/>
        <v>0.3371628223470525</v>
      </c>
      <c r="AS14">
        <f>IF(wshed_char_unis_excluded!DS14=1,AR14,0)</f>
        <v>0.3371628223470525</v>
      </c>
      <c r="AT14">
        <f>IF(wshed_char_unis_excluded!DS14=1,1.3384*(AH14/10000)/1000,0)</f>
        <v>1.1597324660635</v>
      </c>
      <c r="AU14">
        <f t="shared" si="23"/>
        <v>1.7647834414976442</v>
      </c>
      <c r="AV14" s="56">
        <f t="shared" si="24"/>
        <v>1.529196542645019</v>
      </c>
      <c r="AW14">
        <f>IF(wshed_char_unis_excluded!DS14=1,AV14,0)</f>
        <v>1.529196542645019</v>
      </c>
      <c r="AX14">
        <f>IF(wshed_char_unis_excluded!DS14=1,0.278*(AH14/10000)/1000,0)</f>
        <v>0.24088884157625004</v>
      </c>
    </row>
    <row r="15" spans="1:50" ht="12.75">
      <c r="A15" s="81"/>
      <c r="B15" s="81"/>
      <c r="C15" s="81"/>
      <c r="D15" s="81"/>
      <c r="E15">
        <v>4.603766953369765</v>
      </c>
      <c r="F15">
        <v>0.772091780226526</v>
      </c>
      <c r="G15" s="6">
        <v>20.62</v>
      </c>
      <c r="H15">
        <v>76.08142050500285</v>
      </c>
      <c r="I15">
        <f t="shared" si="3"/>
        <v>134.81356000000002</v>
      </c>
      <c r="J15">
        <f t="shared" si="4"/>
        <v>96.35519800000002</v>
      </c>
      <c r="K15">
        <f t="shared" si="5"/>
        <v>173.27192200000002</v>
      </c>
      <c r="L15">
        <f t="shared" si="6"/>
        <v>114.26958347352586</v>
      </c>
      <c r="M15">
        <f t="shared" si="7"/>
        <v>79.08976197175035</v>
      </c>
      <c r="N15">
        <f t="shared" si="8"/>
        <v>149.44940497530135</v>
      </c>
      <c r="O15">
        <f t="shared" si="0"/>
        <v>0.5550464691528917</v>
      </c>
      <c r="P15">
        <f t="shared" si="9"/>
        <v>0.396707960493201</v>
      </c>
      <c r="Q15">
        <f t="shared" si="10"/>
        <v>0.7133849778125826</v>
      </c>
      <c r="R15">
        <f t="shared" si="11"/>
        <v>0.4704640159235626</v>
      </c>
      <c r="S15">
        <f t="shared" si="12"/>
        <v>0.32562372159419783</v>
      </c>
      <c r="T15">
        <f t="shared" si="13"/>
        <v>0.6153043102529272</v>
      </c>
      <c r="U15">
        <f t="shared" si="14"/>
        <v>-0.090612103236139</v>
      </c>
      <c r="V15" s="6">
        <f t="shared" si="25"/>
        <v>17.25023799902329</v>
      </c>
      <c r="W15" s="6">
        <f t="shared" si="15"/>
        <v>11.939460841868582</v>
      </c>
      <c r="X15" s="6">
        <f t="shared" si="16"/>
        <v>22.561015156177998</v>
      </c>
      <c r="Y15" s="6">
        <f t="shared" si="17"/>
        <v>0.8481711960460496</v>
      </c>
      <c r="Z15" s="6">
        <f t="shared" si="18"/>
        <v>0.5870473661271238</v>
      </c>
      <c r="AA15" s="6">
        <f t="shared" si="19"/>
        <v>1.1092950259649752</v>
      </c>
      <c r="AB15" t="b">
        <f>IF(wshed_char_unis_excluded!DU15=1,Y15)</f>
        <v>0</v>
      </c>
      <c r="AC15" t="b">
        <f>IF(wshed_char_unis_excluded!DU15=1,Z15)</f>
        <v>0</v>
      </c>
      <c r="AD15" t="b">
        <f>IF(wshed_char_unis_excluded!DU15=1,AA15)</f>
        <v>0</v>
      </c>
      <c r="AE15" t="b">
        <f>IF(wshed_char_unis_excluded!DV15=1,Y15)</f>
        <v>0</v>
      </c>
      <c r="AF15" t="b">
        <f>IF(wshed_char_unis_excluded!DV15=1,Z15)</f>
        <v>0</v>
      </c>
      <c r="AG15" t="b">
        <f>IF(wshed_char_unis_excluded!DV15=1,AA15)</f>
        <v>0</v>
      </c>
      <c r="AH15" s="8">
        <v>5546804.91529</v>
      </c>
      <c r="AI15" s="8"/>
      <c r="AJ15" s="8"/>
      <c r="AK15" s="8"/>
      <c r="AL15" s="8"/>
      <c r="AM15" s="7">
        <f t="shared" si="20"/>
        <v>0.6631496300365632</v>
      </c>
      <c r="AN15" s="7">
        <f t="shared" si="2"/>
        <v>0.3678361627459553</v>
      </c>
      <c r="AO15">
        <f>IF(wshed_char_unis_excluded!DS15=1,AN15,0)</f>
        <v>0</v>
      </c>
      <c r="AP15">
        <f>IF(wshed_char_unis_excluded!DS15=1,0.831*(AH15/10000)/1000,0)</f>
        <v>0</v>
      </c>
      <c r="AQ15">
        <f t="shared" si="21"/>
        <v>0.23934845187022308</v>
      </c>
      <c r="AR15" s="56">
        <f t="shared" si="22"/>
        <v>0.13276191693008052</v>
      </c>
      <c r="AS15">
        <f>IF(wshed_char_unis_excluded!DS15=1,AR15,0)</f>
        <v>0</v>
      </c>
      <c r="AT15">
        <f>IF(wshed_char_unis_excluded!DS15=1,1.3384*(AH15/10000)/1000,0)</f>
        <v>0</v>
      </c>
      <c r="AU15">
        <f t="shared" si="23"/>
        <v>1.0855610429984954</v>
      </c>
      <c r="AV15" s="56">
        <f t="shared" si="24"/>
        <v>0.6021395329151393</v>
      </c>
      <c r="AW15">
        <f>IF(wshed_char_unis_excluded!DS15=1,AV15,0)</f>
        <v>0</v>
      </c>
      <c r="AX15">
        <f>IF(wshed_char_unis_excluded!DS15=1,0.278*(AH15/10000)/1000,0)</f>
        <v>0</v>
      </c>
    </row>
    <row r="16" spans="1:50" ht="12.75">
      <c r="A16" s="81"/>
      <c r="B16" s="81"/>
      <c r="C16" s="81"/>
      <c r="D16" s="81"/>
      <c r="E16">
        <v>56.85628729224296</v>
      </c>
      <c r="F16">
        <v>0.239441099596017</v>
      </c>
      <c r="G16" s="6">
        <v>6.92</v>
      </c>
      <c r="H16">
        <v>56.44557673220177</v>
      </c>
      <c r="I16">
        <f t="shared" si="3"/>
        <v>45.242960000000004</v>
      </c>
      <c r="J16">
        <f t="shared" si="4"/>
        <v>32.336468</v>
      </c>
      <c r="K16">
        <f t="shared" si="5"/>
        <v>58.149452000000004</v>
      </c>
      <c r="L16">
        <f t="shared" si="6"/>
        <v>35.43728274021052</v>
      </c>
      <c r="M16">
        <f t="shared" si="7"/>
        <v>24.52731664588772</v>
      </c>
      <c r="N16">
        <f t="shared" si="8"/>
        <v>46.34724883453332</v>
      </c>
      <c r="O16">
        <f t="shared" si="0"/>
        <v>2.3004454721216563</v>
      </c>
      <c r="P16">
        <f t="shared" si="9"/>
        <v>1.644195724484137</v>
      </c>
      <c r="Q16">
        <f t="shared" si="10"/>
        <v>2.956695219759175</v>
      </c>
      <c r="R16">
        <f t="shared" si="11"/>
        <v>1.8018612536406153</v>
      </c>
      <c r="S16">
        <f t="shared" si="12"/>
        <v>1.247127829861851</v>
      </c>
      <c r="T16">
        <f t="shared" si="13"/>
        <v>2.3565946774193796</v>
      </c>
      <c r="U16">
        <f t="shared" si="14"/>
        <v>-1.1190548578870496</v>
      </c>
      <c r="V16" s="6">
        <f t="shared" si="25"/>
        <v>114.7148939436194</v>
      </c>
      <c r="W16" s="6">
        <f t="shared" si="15"/>
        <v>79.39797609148927</v>
      </c>
      <c r="X16" s="6">
        <f t="shared" si="16"/>
        <v>150.03181179574955</v>
      </c>
      <c r="Y16" s="6">
        <f t="shared" si="17"/>
        <v>0.8438036006885505</v>
      </c>
      <c r="Z16" s="6">
        <f t="shared" si="18"/>
        <v>0.5840244087773793</v>
      </c>
      <c r="AA16" s="6">
        <f t="shared" si="19"/>
        <v>1.1035827925997215</v>
      </c>
      <c r="AB16">
        <f>IF(wshed_char_unis_excluded!DU16=1,Y16)</f>
        <v>0.8438036006885505</v>
      </c>
      <c r="AC16">
        <f>IF(wshed_char_unis_excluded!DU16=1,Z16)</f>
        <v>0.5840244087773793</v>
      </c>
      <c r="AD16">
        <f>IF(wshed_char_unis_excluded!DU16=1,AA16)</f>
        <v>1.1035827925997215</v>
      </c>
      <c r="AE16" t="b">
        <f>IF(wshed_char_unis_excluded!DV16=1,Y16)</f>
        <v>0</v>
      </c>
      <c r="AF16" t="b">
        <f>IF(wshed_char_unis_excluded!DV16=1,Z16)</f>
        <v>0</v>
      </c>
      <c r="AG16" t="b">
        <f>IF(wshed_char_unis_excluded!DV16=1,AA16)</f>
        <v>0</v>
      </c>
      <c r="AH16" s="8">
        <v>21354036.0834</v>
      </c>
      <c r="AI16" s="8"/>
      <c r="AJ16" s="8"/>
      <c r="AK16" s="8"/>
      <c r="AL16" s="8"/>
      <c r="AM16" s="7">
        <f t="shared" si="20"/>
        <v>0.205655960443019</v>
      </c>
      <c r="AN16" s="7">
        <f t="shared" si="2"/>
        <v>0.43915848000665114</v>
      </c>
      <c r="AO16">
        <f>IF(wshed_char_unis_excluded!DS16=1,AN16,0)</f>
        <v>0.43915848000665114</v>
      </c>
      <c r="AP16">
        <f>IF(wshed_char_unis_excluded!DS16=1,0.831*(AH16/10000)/1000,0)</f>
        <v>1.77452039853054</v>
      </c>
      <c r="AQ16">
        <f t="shared" si="21"/>
        <v>0.07422674087476527</v>
      </c>
      <c r="AR16" s="56">
        <f t="shared" si="22"/>
        <v>0.15850405029929196</v>
      </c>
      <c r="AS16">
        <f>IF(wshed_char_unis_excluded!DS16=1,AR16,0)</f>
        <v>0.15850405029929196</v>
      </c>
      <c r="AT16">
        <f>IF(wshed_char_unis_excluded!DS16=1,1.3384*(AH16/10000)/1000,0)</f>
        <v>2.858024189402256</v>
      </c>
      <c r="AU16">
        <f t="shared" si="23"/>
        <v>0.33665418603199987</v>
      </c>
      <c r="AV16" s="56">
        <f t="shared" si="24"/>
        <v>0.7188925636154981</v>
      </c>
      <c r="AW16">
        <f>IF(wshed_char_unis_excluded!DS16=1,AV16,0)</f>
        <v>0.7188925636154981</v>
      </c>
      <c r="AX16">
        <f>IF(wshed_char_unis_excluded!DS16=1,0.278*(AH16/10000)/1000,0)</f>
        <v>0.5936422031185201</v>
      </c>
    </row>
    <row r="17" spans="1:50" ht="12.75">
      <c r="A17" s="81" t="s">
        <v>694</v>
      </c>
      <c r="B17" s="81">
        <v>0.0011</v>
      </c>
      <c r="C17" s="81"/>
      <c r="D17" s="81"/>
      <c r="E17">
        <v>600.3051834180865</v>
      </c>
      <c r="F17">
        <v>0.03485382128924</v>
      </c>
      <c r="G17" s="6">
        <v>4.930230313779897</v>
      </c>
      <c r="H17">
        <v>57.53596330898319</v>
      </c>
      <c r="I17">
        <f t="shared" si="3"/>
        <v>32.23384579149297</v>
      </c>
      <c r="J17">
        <f t="shared" si="4"/>
        <v>23.03847323326208</v>
      </c>
      <c r="K17">
        <f t="shared" si="5"/>
        <v>41.429218349723854</v>
      </c>
      <c r="L17">
        <f t="shared" si="6"/>
        <v>5.15836555080752</v>
      </c>
      <c r="M17">
        <f t="shared" si="7"/>
        <v>3.5702755814382017</v>
      </c>
      <c r="N17">
        <f t="shared" si="8"/>
        <v>6.746455520176839</v>
      </c>
      <c r="O17">
        <f t="shared" si="0"/>
        <v>17.30480274473212</v>
      </c>
      <c r="P17">
        <f t="shared" si="9"/>
        <v>12.368249119892742</v>
      </c>
      <c r="Q17">
        <f t="shared" si="10"/>
        <v>22.24135636957151</v>
      </c>
      <c r="R17">
        <f t="shared" si="11"/>
        <v>2.7692785688483985</v>
      </c>
      <c r="S17">
        <f t="shared" si="12"/>
        <v>1.9167093830742148</v>
      </c>
      <c r="T17">
        <f t="shared" si="13"/>
        <v>3.6218477546225816</v>
      </c>
      <c r="U17">
        <f t="shared" si="14"/>
        <v>-11.815305988339441</v>
      </c>
      <c r="V17" s="6">
        <f t="shared" si="25"/>
        <v>151.9577792388291</v>
      </c>
      <c r="W17" s="6">
        <f t="shared" si="15"/>
        <v>105.17501004577647</v>
      </c>
      <c r="X17" s="6">
        <f t="shared" si="16"/>
        <v>198.74054843188165</v>
      </c>
      <c r="Y17" s="6">
        <f t="shared" si="17"/>
        <v>0.12697916861915484</v>
      </c>
      <c r="Z17" s="6">
        <f t="shared" si="18"/>
        <v>0.08788648664135915</v>
      </c>
      <c r="AA17" s="6">
        <f t="shared" si="19"/>
        <v>0.16607185059695048</v>
      </c>
      <c r="AB17" t="b">
        <f>IF(wshed_char_unis_excluded!DU17=1,Y17)</f>
        <v>0</v>
      </c>
      <c r="AC17" t="b">
        <f>IF(wshed_char_unis_excluded!DU17=1,Z17)</f>
        <v>0</v>
      </c>
      <c r="AD17" t="b">
        <f>IF(wshed_char_unis_excluded!DU17=1,AA17)</f>
        <v>0</v>
      </c>
      <c r="AE17">
        <f>IF(wshed_char_unis_excluded!DV17=1,Y17)</f>
        <v>0.12697916861915484</v>
      </c>
      <c r="AF17">
        <f>IF(wshed_char_unis_excluded!DV17=1,Z17)</f>
        <v>0.08788648664135915</v>
      </c>
      <c r="AG17">
        <f>IF(wshed_char_unis_excluded!DV17=1,AA17)</f>
        <v>0.16607185059695048</v>
      </c>
      <c r="AH17" s="8">
        <v>218089203.053</v>
      </c>
      <c r="AI17" s="8"/>
      <c r="AJ17" s="8"/>
      <c r="AK17" s="8"/>
      <c r="AL17" s="8"/>
      <c r="AM17" s="7">
        <f t="shared" si="20"/>
        <v>0.029935947105328237</v>
      </c>
      <c r="AN17" s="7">
        <f t="shared" si="2"/>
        <v>0.6528706846837798</v>
      </c>
      <c r="AO17">
        <f>IF(wshed_char_unis_excluded!DS17=1,AN17,0)</f>
        <v>0.6528706846837798</v>
      </c>
      <c r="AP17">
        <f>IF(wshed_char_unis_excluded!DS17=1,0.831*(AH17/10000)/1000,0)</f>
        <v>18.1232127737043</v>
      </c>
      <c r="AQ17">
        <f t="shared" si="21"/>
        <v>0.0108046845996644</v>
      </c>
      <c r="AR17" s="56">
        <f t="shared" si="22"/>
        <v>0.23563850535798314</v>
      </c>
      <c r="AS17">
        <f>IF(wshed_char_unis_excluded!DS17=1,AR17,0)</f>
        <v>0.23563850535798314</v>
      </c>
      <c r="AT17">
        <f>IF(wshed_char_unis_excluded!DS17=1,1.3384*(AH17/10000)/1000,0)</f>
        <v>29.189058936613524</v>
      </c>
      <c r="AU17">
        <f t="shared" si="23"/>
        <v>0.04900447273267144</v>
      </c>
      <c r="AV17" s="56">
        <f t="shared" si="24"/>
        <v>1.0687346404300784</v>
      </c>
      <c r="AW17">
        <f>IF(wshed_char_unis_excluded!DS17=1,AV17,0)</f>
        <v>1.0687346404300784</v>
      </c>
      <c r="AX17">
        <f>IF(wshed_char_unis_excluded!DS17=1,0.278*(AH17/10000)/1000,0)</f>
        <v>6.062879844873401</v>
      </c>
    </row>
    <row r="18" spans="1:50" ht="12.75">
      <c r="A18" s="81" t="s">
        <v>695</v>
      </c>
      <c r="B18" s="81">
        <v>0.0024</v>
      </c>
      <c r="C18" s="81"/>
      <c r="D18" s="81"/>
      <c r="E18">
        <v>1.8071836706142812</v>
      </c>
      <c r="F18">
        <v>0.937397196333346</v>
      </c>
      <c r="G18" s="6">
        <v>13.03</v>
      </c>
      <c r="H18">
        <v>248.06006303578377</v>
      </c>
      <c r="I18">
        <f t="shared" si="3"/>
        <v>85.19014</v>
      </c>
      <c r="J18">
        <f t="shared" si="4"/>
        <v>60.887887</v>
      </c>
      <c r="K18">
        <f t="shared" si="5"/>
        <v>109.49239299999999</v>
      </c>
      <c r="L18">
        <f t="shared" si="6"/>
        <v>138.7347850573352</v>
      </c>
      <c r="M18">
        <f t="shared" si="7"/>
        <v>96.02293798444373</v>
      </c>
      <c r="N18">
        <f t="shared" si="8"/>
        <v>181.44663213022667</v>
      </c>
      <c r="O18">
        <f t="shared" si="0"/>
        <v>0.13768101583416442</v>
      </c>
      <c r="P18">
        <f t="shared" si="9"/>
        <v>0.09840465262946878</v>
      </c>
      <c r="Q18">
        <f t="shared" si="10"/>
        <v>0.17695737903886008</v>
      </c>
      <c r="R18">
        <f t="shared" si="11"/>
        <v>0.22421780429317723</v>
      </c>
      <c r="S18">
        <f t="shared" si="12"/>
        <v>0.15518856577861223</v>
      </c>
      <c r="T18">
        <f t="shared" si="13"/>
        <v>0.2932470428077421</v>
      </c>
      <c r="U18">
        <f t="shared" si="14"/>
        <v>-0.03556928814750401</v>
      </c>
      <c r="V18" s="6">
        <f t="shared" si="25"/>
        <v>13.447635412883814</v>
      </c>
      <c r="W18" s="6">
        <f t="shared" si="15"/>
        <v>9.307553695023934</v>
      </c>
      <c r="X18" s="6">
        <f t="shared" si="16"/>
        <v>17.587717130743687</v>
      </c>
      <c r="Y18" s="6">
        <f t="shared" si="17"/>
        <v>1.0297652708477176</v>
      </c>
      <c r="Z18" s="6">
        <f t="shared" si="18"/>
        <v>0.7127346375336184</v>
      </c>
      <c r="AA18" s="6">
        <f t="shared" si="19"/>
        <v>1.3467959041618163</v>
      </c>
      <c r="AB18">
        <f>IF(wshed_char_unis_excluded!DU18=1,Y18)</f>
        <v>1.0297652708477176</v>
      </c>
      <c r="AC18">
        <f>IF(wshed_char_unis_excluded!DU18=1,Z18)</f>
        <v>0.7127346375336184</v>
      </c>
      <c r="AD18">
        <f>IF(wshed_char_unis_excluded!DU18=1,AA18)</f>
        <v>1.3467959041618163</v>
      </c>
      <c r="AE18" t="b">
        <f>IF(wshed_char_unis_excluded!DV18=1,Y18)</f>
        <v>0</v>
      </c>
      <c r="AF18" t="b">
        <f>IF(wshed_char_unis_excluded!DV18=1,Z18)</f>
        <v>0</v>
      </c>
      <c r="AG18" t="b">
        <f>IF(wshed_char_unis_excluded!DV18=1,AA18)</f>
        <v>0</v>
      </c>
      <c r="AH18" s="8">
        <v>2177368.09194</v>
      </c>
      <c r="AI18" s="8"/>
      <c r="AJ18" s="8"/>
      <c r="AK18" s="8"/>
      <c r="AL18" s="8"/>
      <c r="AM18" s="7">
        <f t="shared" si="20"/>
        <v>0.8051304519307109</v>
      </c>
      <c r="AN18" s="7">
        <f t="shared" si="2"/>
        <v>0.1753065355883162</v>
      </c>
      <c r="AO18">
        <f>IF(wshed_char_unis_excluded!DS18=1,AN18,0)</f>
        <v>0.1753065355883162</v>
      </c>
      <c r="AP18">
        <f>IF(wshed_char_unis_excluded!DS18=1,0.831*(AH18/10000)/1000,0)</f>
        <v>0.180939288440214</v>
      </c>
      <c r="AQ18">
        <f t="shared" si="21"/>
        <v>0.29059313086333727</v>
      </c>
      <c r="AR18" s="56">
        <f t="shared" si="22"/>
        <v>0.06327282108787755</v>
      </c>
      <c r="AS18">
        <f>IF(wshed_char_unis_excluded!DS18=1,AR18,0)</f>
        <v>0.06327282108787755</v>
      </c>
      <c r="AT18">
        <f>IF(wshed_char_unis_excluded!DS18=1,1.3384*(AH18/10000)/1000,0)</f>
        <v>0.2914189454252496</v>
      </c>
      <c r="AU18">
        <f t="shared" si="23"/>
        <v>1.3179804580446843</v>
      </c>
      <c r="AV18" s="56">
        <f t="shared" si="24"/>
        <v>0.28697285951469614</v>
      </c>
      <c r="AW18">
        <f>IF(wshed_char_unis_excluded!DS18=1,AV18,0)</f>
        <v>0.28697285951469614</v>
      </c>
      <c r="AX18">
        <f>IF(wshed_char_unis_excluded!DS18=1,0.278*(AH18/10000)/1000,0)</f>
        <v>0.060530832955932014</v>
      </c>
    </row>
    <row r="19" spans="1:50" ht="12.75">
      <c r="A19" s="81"/>
      <c r="B19" s="81"/>
      <c r="C19" s="81"/>
      <c r="D19" s="81"/>
      <c r="E19">
        <v>2.4410389129333225</v>
      </c>
      <c r="F19">
        <v>1.23773085621086</v>
      </c>
      <c r="G19" s="6">
        <v>5.88</v>
      </c>
      <c r="H19">
        <v>389.4386448912975</v>
      </c>
      <c r="I19">
        <f t="shared" si="3"/>
        <v>38.44344</v>
      </c>
      <c r="J19">
        <f t="shared" si="4"/>
        <v>27.476652</v>
      </c>
      <c r="K19">
        <f t="shared" si="5"/>
        <v>49.410228000000004</v>
      </c>
      <c r="L19">
        <f t="shared" si="6"/>
        <v>183.18416671920727</v>
      </c>
      <c r="M19">
        <f t="shared" si="7"/>
        <v>126.78782666755879</v>
      </c>
      <c r="N19">
        <f t="shared" si="8"/>
        <v>239.58050677085578</v>
      </c>
      <c r="O19">
        <f t="shared" si="0"/>
        <v>0.0839226870832837</v>
      </c>
      <c r="P19">
        <f t="shared" si="9"/>
        <v>0.05998200129572902</v>
      </c>
      <c r="Q19">
        <f t="shared" si="10"/>
        <v>0.10786337287083834</v>
      </c>
      <c r="R19">
        <f t="shared" si="11"/>
        <v>0.3998941692571762</v>
      </c>
      <c r="S19">
        <f t="shared" si="12"/>
        <v>0.2767799942822793</v>
      </c>
      <c r="T19">
        <f t="shared" si="13"/>
        <v>0.5230083442320733</v>
      </c>
      <c r="U19">
        <f t="shared" si="14"/>
        <v>-0.04804493194866144</v>
      </c>
      <c r="V19" s="6">
        <f t="shared" si="25"/>
        <v>8.348103002295831</v>
      </c>
      <c r="W19" s="6">
        <f t="shared" si="15"/>
        <v>5.777998477785643</v>
      </c>
      <c r="X19" s="6">
        <f t="shared" si="16"/>
        <v>10.918207526806022</v>
      </c>
      <c r="Y19" s="6">
        <f t="shared" si="17"/>
        <v>1.3596928339108298</v>
      </c>
      <c r="Z19" s="6">
        <f t="shared" si="18"/>
        <v>0.9410884272070245</v>
      </c>
      <c r="AA19" s="6">
        <f t="shared" si="19"/>
        <v>1.7782972406146358</v>
      </c>
      <c r="AB19">
        <f>IF(wshed_char_unis_excluded!DU19=1,Y19)</f>
        <v>1.3596928339108298</v>
      </c>
      <c r="AC19">
        <f>IF(wshed_char_unis_excluded!DU19=1,Z19)</f>
        <v>0.9410884272070245</v>
      </c>
      <c r="AD19">
        <f>IF(wshed_char_unis_excluded!DU19=1,AA19)</f>
        <v>1.7782972406146358</v>
      </c>
      <c r="AE19" t="b">
        <f>IF(wshed_char_unis_excluded!DV19=1,Y19)</f>
        <v>0</v>
      </c>
      <c r="AF19" t="b">
        <f>IF(wshed_char_unis_excluded!DV19=1,Z19)</f>
        <v>0</v>
      </c>
      <c r="AG19" t="b">
        <f>IF(wshed_char_unis_excluded!DV19=1,AA19)</f>
        <v>0</v>
      </c>
      <c r="AH19" s="8">
        <v>2941062.56416</v>
      </c>
      <c r="AI19" s="8"/>
      <c r="AJ19" s="8"/>
      <c r="AK19" s="8"/>
      <c r="AL19" s="8"/>
      <c r="AM19" s="7">
        <f t="shared" si="20"/>
        <v>1.0630870323995076</v>
      </c>
      <c r="AN19" s="7">
        <f t="shared" si="2"/>
        <v>0.31266054734341414</v>
      </c>
      <c r="AO19">
        <f>IF(wshed_char_unis_excluded!DS19=1,AN19,0)</f>
        <v>0.31266054734341414</v>
      </c>
      <c r="AP19">
        <f>IF(wshed_char_unis_excluded!DS19=1,0.831*(AH19/10000)/1000,0)</f>
        <v>0.24440229908169597</v>
      </c>
      <c r="AQ19">
        <f t="shared" si="21"/>
        <v>0.3836965654253666</v>
      </c>
      <c r="AR19" s="56">
        <f t="shared" si="22"/>
        <v>0.11284756045693141</v>
      </c>
      <c r="AS19">
        <f>IF(wshed_char_unis_excluded!DS19=1,AR19,0)</f>
        <v>0.11284756045693141</v>
      </c>
      <c r="AT19">
        <f>IF(wshed_char_unis_excluded!DS19=1,1.3384*(AH19/10000)/1000,0)</f>
        <v>0.3936318135871744</v>
      </c>
      <c r="AU19">
        <f t="shared" si="23"/>
        <v>1.740249583832469</v>
      </c>
      <c r="AV19" s="56">
        <f t="shared" si="24"/>
        <v>0.5118182903304694</v>
      </c>
      <c r="AW19">
        <f>IF(wshed_char_unis_excluded!DS19=1,AV19,0)</f>
        <v>0.5118182903304694</v>
      </c>
      <c r="AX19">
        <f>IF(wshed_char_unis_excluded!DS19=1,0.278*(AH19/10000)/1000,0)</f>
        <v>0.081761539283648</v>
      </c>
    </row>
    <row r="20" spans="1:50" ht="12.75">
      <c r="A20" s="81"/>
      <c r="B20" s="81"/>
      <c r="C20" s="81"/>
      <c r="D20" s="81"/>
      <c r="E20">
        <v>2.544904839193505</v>
      </c>
      <c r="F20">
        <v>1.55211919003613</v>
      </c>
      <c r="G20" s="6">
        <v>59.98</v>
      </c>
      <c r="H20">
        <v>352.3099276605789</v>
      </c>
      <c r="I20">
        <f t="shared" si="3"/>
        <v>392.14924</v>
      </c>
      <c r="J20">
        <f t="shared" si="4"/>
        <v>280.280542</v>
      </c>
      <c r="K20">
        <f t="shared" si="5"/>
        <v>504.017938</v>
      </c>
      <c r="L20">
        <f t="shared" si="6"/>
        <v>229.71364012534724</v>
      </c>
      <c r="M20">
        <f t="shared" si="7"/>
        <v>158.992415714784</v>
      </c>
      <c r="N20">
        <f t="shared" si="8"/>
        <v>300.4348645359105</v>
      </c>
      <c r="O20">
        <f t="shared" si="0"/>
        <v>0.8924941151095412</v>
      </c>
      <c r="P20">
        <f t="shared" si="9"/>
        <v>0.6378916718408344</v>
      </c>
      <c r="Q20">
        <f t="shared" si="10"/>
        <v>1.1470965583782482</v>
      </c>
      <c r="R20">
        <f t="shared" si="11"/>
        <v>0.5228062458370781</v>
      </c>
      <c r="S20">
        <f t="shared" si="12"/>
        <v>0.36185151186954867</v>
      </c>
      <c r="T20">
        <f t="shared" si="13"/>
        <v>0.6837609798046079</v>
      </c>
      <c r="U20">
        <f t="shared" si="14"/>
        <v>-0.050089238302204374</v>
      </c>
      <c r="V20" s="6">
        <f t="shared" si="25"/>
        <v>4.920112610104378</v>
      </c>
      <c r="W20" s="6">
        <f t="shared" si="15"/>
        <v>3.4053728330734407</v>
      </c>
      <c r="X20" s="6">
        <f t="shared" si="16"/>
        <v>6.434852387135319</v>
      </c>
      <c r="Y20" s="6">
        <f t="shared" si="17"/>
        <v>1.70505997283474</v>
      </c>
      <c r="Z20" s="6">
        <f t="shared" si="18"/>
        <v>1.1801284585088354</v>
      </c>
      <c r="AA20" s="6">
        <f t="shared" si="19"/>
        <v>2.2299914871606457</v>
      </c>
      <c r="AB20">
        <f>IF(wshed_char_unis_excluded!DU20=1,Y20)</f>
        <v>1.70505997283474</v>
      </c>
      <c r="AC20">
        <f>IF(wshed_char_unis_excluded!DU20=1,Z20)</f>
        <v>1.1801284585088354</v>
      </c>
      <c r="AD20">
        <f>IF(wshed_char_unis_excluded!DU20=1,AA20)</f>
        <v>2.2299914871606457</v>
      </c>
      <c r="AE20" t="b">
        <f>IF(wshed_char_unis_excluded!DV20=1,Y20)</f>
        <v>0</v>
      </c>
      <c r="AF20" t="b">
        <f>IF(wshed_char_unis_excluded!DV20=1,Z20)</f>
        <v>0</v>
      </c>
      <c r="AG20" t="b">
        <f>IF(wshed_char_unis_excluded!DV20=1,AA20)</f>
        <v>0</v>
      </c>
      <c r="AH20" s="8">
        <v>3066204.43953</v>
      </c>
      <c r="AI20" s="8"/>
      <c r="AJ20" s="8"/>
      <c r="AK20" s="8"/>
      <c r="AL20" s="8"/>
      <c r="AM20" s="7">
        <f t="shared" si="20"/>
        <v>1.333115172322032</v>
      </c>
      <c r="AN20" s="7">
        <f t="shared" si="2"/>
        <v>0.4087603659778616</v>
      </c>
      <c r="AO20">
        <f>IF(wshed_char_unis_excluded!DS20=1,AN20,0)</f>
        <v>0.4087603659778616</v>
      </c>
      <c r="AP20">
        <f>IF(wshed_char_unis_excluded!DS20=1,0.831*(AH20/10000)/1000,0)</f>
        <v>0.254801588924943</v>
      </c>
      <c r="AQ20">
        <f t="shared" si="21"/>
        <v>0.4811569489112003</v>
      </c>
      <c r="AR20" s="56">
        <f t="shared" si="22"/>
        <v>0.1475325572862232</v>
      </c>
      <c r="AS20">
        <f>IF(wshed_char_unis_excluded!DS20=1,AR20,0)</f>
        <v>0.1475325572862232</v>
      </c>
      <c r="AT20">
        <f>IF(wshed_char_unis_excluded!DS20=1,1.3384*(AH20/10000)/1000,0)</f>
        <v>0.41038080218669526</v>
      </c>
      <c r="AU20">
        <f t="shared" si="23"/>
        <v>2.1822795811907985</v>
      </c>
      <c r="AV20" s="56">
        <f t="shared" si="24"/>
        <v>0.6691315340142895</v>
      </c>
      <c r="AW20">
        <f>IF(wshed_char_unis_excluded!DS20=1,AV20,0)</f>
        <v>0.6691315340142895</v>
      </c>
      <c r="AX20">
        <f>IF(wshed_char_unis_excluded!DS20=1,0.278*(AH20/10000)/1000,0)</f>
        <v>0.085240483418934</v>
      </c>
    </row>
    <row r="21" spans="1:50" ht="12.75">
      <c r="A21" s="81"/>
      <c r="B21" s="81"/>
      <c r="C21" s="81"/>
      <c r="D21" s="81"/>
      <c r="E21">
        <v>15.317195789170826</v>
      </c>
      <c r="F21">
        <v>0.682518215978412</v>
      </c>
      <c r="G21" s="6">
        <v>6.26</v>
      </c>
      <c r="H21">
        <v>62.746513448483554</v>
      </c>
      <c r="I21">
        <f t="shared" si="3"/>
        <v>40.92788</v>
      </c>
      <c r="J21">
        <f t="shared" si="4"/>
        <v>29.252354</v>
      </c>
      <c r="K21">
        <f t="shared" si="5"/>
        <v>52.603406</v>
      </c>
      <c r="L21">
        <f t="shared" si="6"/>
        <v>101.01269596480498</v>
      </c>
      <c r="M21">
        <f t="shared" si="7"/>
        <v>69.91423121649981</v>
      </c>
      <c r="N21">
        <f t="shared" si="8"/>
        <v>132.11116071311014</v>
      </c>
      <c r="O21">
        <f t="shared" si="0"/>
        <v>0.5606359580537941</v>
      </c>
      <c r="P21">
        <f t="shared" si="9"/>
        <v>0.40070293184300615</v>
      </c>
      <c r="Q21">
        <f t="shared" si="10"/>
        <v>0.7205689842645819</v>
      </c>
      <c r="R21">
        <f t="shared" si="11"/>
        <v>1.3836863667950807</v>
      </c>
      <c r="S21">
        <f t="shared" si="12"/>
        <v>0.9576951456966948</v>
      </c>
      <c r="T21">
        <f t="shared" si="13"/>
        <v>1.8096775878934668</v>
      </c>
      <c r="U21">
        <f t="shared" si="14"/>
        <v>-0.3014755829724611</v>
      </c>
      <c r="V21" s="6">
        <f t="shared" si="25"/>
        <v>32.73409036550501</v>
      </c>
      <c r="W21" s="6">
        <f t="shared" si="15"/>
        <v>22.656347705768653</v>
      </c>
      <c r="X21" s="6">
        <f t="shared" si="16"/>
        <v>42.81183302524136</v>
      </c>
      <c r="Y21" s="6">
        <f t="shared" si="17"/>
        <v>1.2485222204885826</v>
      </c>
      <c r="Z21" s="6">
        <f t="shared" si="18"/>
        <v>0.8641435650087993</v>
      </c>
      <c r="AA21" s="6">
        <f t="shared" si="19"/>
        <v>1.6329008759683663</v>
      </c>
      <c r="AB21">
        <f>IF(wshed_char_unis_excluded!DU21=1,Y21)</f>
        <v>1.2485222204885826</v>
      </c>
      <c r="AC21">
        <f>IF(wshed_char_unis_excluded!DU21=1,Z21)</f>
        <v>0.8641435650087993</v>
      </c>
      <c r="AD21">
        <f>IF(wshed_char_unis_excluded!DU21=1,AA21)</f>
        <v>1.6329008759683663</v>
      </c>
      <c r="AE21" t="b">
        <f>IF(wshed_char_unis_excluded!DV21=1,Y21)</f>
        <v>0</v>
      </c>
      <c r="AF21" t="b">
        <f>IF(wshed_char_unis_excluded!DV21=1,Z21)</f>
        <v>0</v>
      </c>
      <c r="AG21" t="b">
        <f>IF(wshed_char_unis_excluded!DV21=1,AA21)</f>
        <v>0</v>
      </c>
      <c r="AH21" s="8">
        <v>11082593.0375</v>
      </c>
      <c r="AI21" s="8"/>
      <c r="AJ21" s="8"/>
      <c r="AK21" s="8"/>
      <c r="AL21" s="8"/>
      <c r="AM21" s="7">
        <f t="shared" si="20"/>
        <v>0.5862148957038581</v>
      </c>
      <c r="AN21" s="7">
        <f t="shared" si="2"/>
        <v>0.6496781121606368</v>
      </c>
      <c r="AO21">
        <f>IF(wshed_char_unis_excluded!DS21=1,AN21,0)</f>
        <v>0.6496781121606368</v>
      </c>
      <c r="AP21">
        <f>IF(wshed_char_unis_excluded!DS21=1,0.831*(AH21/10000)/1000,0)</f>
        <v>0.9209634814162501</v>
      </c>
      <c r="AQ21">
        <f t="shared" si="21"/>
        <v>0.21158064695330772</v>
      </c>
      <c r="AR21" s="56">
        <f t="shared" si="22"/>
        <v>0.2344862204794474</v>
      </c>
      <c r="AS21">
        <f>IF(wshed_char_unis_excluded!DS21=1,AR21,0)</f>
        <v>0.2344862204794474</v>
      </c>
      <c r="AT21">
        <f>IF(wshed_char_unis_excluded!DS21=1,1.3384*(AH21/10000)/1000,0)</f>
        <v>1.483294252139</v>
      </c>
      <c r="AU21">
        <f t="shared" si="23"/>
        <v>0.9596206116656473</v>
      </c>
      <c r="AV21" s="56">
        <f t="shared" si="24"/>
        <v>1.0635084709487195</v>
      </c>
      <c r="AW21">
        <f>IF(wshed_char_unis_excluded!DS21=1,AV21,0)</f>
        <v>1.0635084709487195</v>
      </c>
      <c r="AX21">
        <f>IF(wshed_char_unis_excluded!DS21=1,0.278*(AH21/10000)/1000,0)</f>
        <v>0.30809608644250003</v>
      </c>
    </row>
    <row r="22" spans="1:50" ht="12.75">
      <c r="A22" s="81" t="s">
        <v>658</v>
      </c>
      <c r="B22" s="81"/>
      <c r="C22" s="81"/>
      <c r="D22" s="81"/>
      <c r="E22">
        <v>706.5673085403578</v>
      </c>
      <c r="F22">
        <v>0.67931700718135</v>
      </c>
      <c r="G22" s="6">
        <v>3.7519968759984383</v>
      </c>
      <c r="H22">
        <v>32.930032263095896</v>
      </c>
      <c r="I22">
        <f t="shared" si="3"/>
        <v>24.53055557527779</v>
      </c>
      <c r="J22">
        <f t="shared" si="4"/>
        <v>17.532706201853102</v>
      </c>
      <c r="K22">
        <f t="shared" si="5"/>
        <v>31.528404948702477</v>
      </c>
      <c r="L22">
        <f t="shared" si="6"/>
        <v>100.5389170628398</v>
      </c>
      <c r="M22">
        <f t="shared" si="7"/>
        <v>69.58631315252661</v>
      </c>
      <c r="N22">
        <f t="shared" si="8"/>
        <v>131.491520973153</v>
      </c>
      <c r="O22">
        <f t="shared" si="0"/>
        <v>15.50041621432182</v>
      </c>
      <c r="P22">
        <f t="shared" si="9"/>
        <v>11.078601243179019</v>
      </c>
      <c r="Q22">
        <f t="shared" si="10"/>
        <v>19.92223118546462</v>
      </c>
      <c r="R22">
        <f t="shared" si="11"/>
        <v>63.528730746798466</v>
      </c>
      <c r="S22">
        <f t="shared" si="12"/>
        <v>43.97033786594476</v>
      </c>
      <c r="T22">
        <f t="shared" si="13"/>
        <v>83.08712362765219</v>
      </c>
      <c r="U22">
        <f t="shared" si="14"/>
        <v>-13.906774724527969</v>
      </c>
      <c r="V22" s="6">
        <f t="shared" si="25"/>
        <v>66.31391518454943</v>
      </c>
      <c r="W22" s="6">
        <f t="shared" si="15"/>
        <v>45.898056227499666</v>
      </c>
      <c r="X22" s="6">
        <f t="shared" si="16"/>
        <v>86.72977414159921</v>
      </c>
      <c r="Y22" s="6">
        <f t="shared" si="17"/>
        <v>2.5058567434965338</v>
      </c>
      <c r="Z22" s="6">
        <f t="shared" si="18"/>
        <v>1.734386416349918</v>
      </c>
      <c r="AA22" s="6">
        <f t="shared" si="19"/>
        <v>3.27732707064315</v>
      </c>
      <c r="AB22" t="b">
        <f>IF(wshed_char_unis_excluded!DU22=1,Y22)</f>
        <v>0</v>
      </c>
      <c r="AC22" t="b">
        <f>IF(wshed_char_unis_excluded!DU22=1,Z22)</f>
        <v>0</v>
      </c>
      <c r="AD22" t="b">
        <f>IF(wshed_char_unis_excluded!DU22=1,AA22)</f>
        <v>0</v>
      </c>
      <c r="AE22" t="b">
        <f>IF(wshed_char_unis_excluded!DV22=1,Y22)</f>
        <v>0</v>
      </c>
      <c r="AF22" t="b">
        <f>IF(wshed_char_unis_excluded!DV22=1,Z22)</f>
        <v>0</v>
      </c>
      <c r="AG22" t="b">
        <f>IF(wshed_char_unis_excluded!DV22=1,AA22)</f>
        <v>0</v>
      </c>
      <c r="AH22" s="8">
        <v>253521000</v>
      </c>
      <c r="AI22" s="8"/>
      <c r="AJ22" s="8"/>
      <c r="AK22" s="8"/>
      <c r="AL22" s="8"/>
      <c r="AM22" s="7">
        <f t="shared" si="20"/>
        <v>0.5834653774680615</v>
      </c>
      <c r="AN22" s="7">
        <f t="shared" si="2"/>
        <v>14.79207259610804</v>
      </c>
      <c r="AO22">
        <f>IF(wshed_char_unis_excluded!DS22=1,AN22,0)</f>
        <v>14.79207259610804</v>
      </c>
      <c r="AP22">
        <f>IF(wshed_char_unis_excluded!DS22=1,0.831*(AH22/10000)/1000,0)</f>
        <v>21.0675951</v>
      </c>
      <c r="AQ22">
        <f t="shared" si="21"/>
        <v>0.2105882722262185</v>
      </c>
      <c r="AR22" s="56">
        <f t="shared" si="22"/>
        <v>5.338854936306314</v>
      </c>
      <c r="AS22">
        <f>IF(wshed_char_unis_excluded!DS22=1,AR22,0)</f>
        <v>5.338854936306314</v>
      </c>
      <c r="AT22">
        <f>IF(wshed_char_unis_excluded!DS22=1,1.3384*(AH22/10000)/1000,0)</f>
        <v>33.93125064</v>
      </c>
      <c r="AU22">
        <f t="shared" si="23"/>
        <v>0.9551197120969781</v>
      </c>
      <c r="AV22" s="56">
        <f t="shared" si="24"/>
        <v>24.214290453053795</v>
      </c>
      <c r="AW22">
        <f>IF(wshed_char_unis_excluded!DS22=1,AV22,0)</f>
        <v>24.214290453053795</v>
      </c>
      <c r="AX22">
        <f>IF(wshed_char_unis_excluded!DS22=1,0.278*(AH22/10000)/1000,0)</f>
        <v>7.0478838</v>
      </c>
    </row>
    <row r="23" spans="1:50" ht="12.75">
      <c r="A23" s="81" t="s">
        <v>659</v>
      </c>
      <c r="B23" s="81"/>
      <c r="C23" s="81"/>
      <c r="D23" s="81"/>
      <c r="E23">
        <v>38.27811053554202</v>
      </c>
      <c r="F23">
        <v>0.324909893321965</v>
      </c>
      <c r="G23" s="6">
        <v>13.86</v>
      </c>
      <c r="H23">
        <v>68.022414287326</v>
      </c>
      <c r="I23">
        <f t="shared" si="3"/>
        <v>90.61668</v>
      </c>
      <c r="J23">
        <f t="shared" si="4"/>
        <v>64.766394</v>
      </c>
      <c r="K23">
        <f t="shared" si="5"/>
        <v>116.466966</v>
      </c>
      <c r="L23">
        <f t="shared" si="6"/>
        <v>48.08666421165082</v>
      </c>
      <c r="M23">
        <f t="shared" si="7"/>
        <v>33.282372359360814</v>
      </c>
      <c r="N23">
        <f t="shared" si="8"/>
        <v>62.890956063940834</v>
      </c>
      <c r="O23">
        <f t="shared" si="0"/>
        <v>3.101994865926688</v>
      </c>
      <c r="P23">
        <f t="shared" si="9"/>
        <v>2.217086541601227</v>
      </c>
      <c r="Q23">
        <f t="shared" si="10"/>
        <v>3.9869031902521495</v>
      </c>
      <c r="R23">
        <f t="shared" si="11"/>
        <v>1.646105170748713</v>
      </c>
      <c r="S23">
        <f t="shared" si="12"/>
        <v>1.1393238881031345</v>
      </c>
      <c r="T23">
        <f t="shared" si="13"/>
        <v>2.1528864533942915</v>
      </c>
      <c r="U23">
        <f t="shared" si="14"/>
        <v>-0.7533961077226348</v>
      </c>
      <c r="V23" s="6">
        <f t="shared" si="25"/>
        <v>32.06731701268418</v>
      </c>
      <c r="W23" s="6">
        <f t="shared" si="15"/>
        <v>22.194851792677106</v>
      </c>
      <c r="X23" s="6">
        <f t="shared" si="16"/>
        <v>41.93978223269125</v>
      </c>
      <c r="Y23" s="6">
        <f t="shared" si="17"/>
        <v>0.3569254587132532</v>
      </c>
      <c r="Z23" s="6">
        <f t="shared" si="18"/>
        <v>0.2470399271021161</v>
      </c>
      <c r="AA23" s="6">
        <f t="shared" si="19"/>
        <v>0.4668109903243903</v>
      </c>
      <c r="AB23">
        <f>IF(wshed_char_unis_excluded!DU23=1,Y23)</f>
        <v>0.3569254587132532</v>
      </c>
      <c r="AC23">
        <f>IF(wshed_char_unis_excluded!DU23=1,Z23)</f>
        <v>0.2470399271021161</v>
      </c>
      <c r="AD23">
        <f>IF(wshed_char_unis_excluded!DU23=1,AA23)</f>
        <v>0.4668109903243903</v>
      </c>
      <c r="AE23" t="b">
        <f>IF(wshed_char_unis_excluded!DV23=1,Y23)</f>
        <v>0</v>
      </c>
      <c r="AF23" t="b">
        <f>IF(wshed_char_unis_excluded!DV23=1,Z23)</f>
        <v>0</v>
      </c>
      <c r="AG23" t="b">
        <f>IF(wshed_char_unis_excluded!DV23=1,AA23)</f>
        <v>0</v>
      </c>
      <c r="AH23" s="8">
        <v>46119018.1469</v>
      </c>
      <c r="AI23" s="8"/>
      <c r="AJ23" s="8"/>
      <c r="AK23" s="8"/>
      <c r="AL23" s="8"/>
      <c r="AM23" s="7">
        <f t="shared" si="20"/>
        <v>0.27906510737423573</v>
      </c>
      <c r="AN23" s="7">
        <f t="shared" si="2"/>
        <v>1.2870208751158976</v>
      </c>
      <c r="AO23">
        <f>IF(wshed_char_unis_excluded!DS23=1,AN23,0)</f>
        <v>1.2870208751158976</v>
      </c>
      <c r="AP23">
        <f>IF(wshed_char_unis_excluded!DS23=1,0.831*(AH23/10000)/1000,0)</f>
        <v>3.8324904080073896</v>
      </c>
      <c r="AQ23">
        <f t="shared" si="21"/>
        <v>0.10072206692980916</v>
      </c>
      <c r="AR23" s="56">
        <f t="shared" si="22"/>
        <v>0.46452028325291445</v>
      </c>
      <c r="AS23">
        <f>IF(wshed_char_unis_excluded!DS23=1,AR23,0)</f>
        <v>0.46452028325291445</v>
      </c>
      <c r="AT23">
        <f>IF(wshed_char_unis_excluded!DS23=1,1.3384*(AH23/10000)/1000,0)</f>
        <v>6.1725693887810955</v>
      </c>
      <c r="AU23">
        <f t="shared" si="23"/>
        <v>0.45682331001068277</v>
      </c>
      <c r="AV23" s="56">
        <f t="shared" si="24"/>
        <v>2.10682425243096</v>
      </c>
      <c r="AW23">
        <f>IF(wshed_char_unis_excluded!DS23=1,AV23,0)</f>
        <v>2.10682425243096</v>
      </c>
      <c r="AX23">
        <f>IF(wshed_char_unis_excluded!DS23=1,0.278*(AH23/10000)/1000,0)</f>
        <v>1.28210870448382</v>
      </c>
    </row>
    <row r="24" spans="1:50" ht="12.75">
      <c r="A24" s="81" t="s">
        <v>660</v>
      </c>
      <c r="B24" s="81"/>
      <c r="C24" s="81"/>
      <c r="D24" s="81"/>
      <c r="E24">
        <v>3.24414301927912</v>
      </c>
      <c r="F24">
        <v>0.987828038361421</v>
      </c>
      <c r="G24" s="6">
        <v>16.76</v>
      </c>
      <c r="H24">
        <v>192.16533281706097</v>
      </c>
      <c r="I24">
        <f t="shared" si="3"/>
        <v>109.57688000000002</v>
      </c>
      <c r="J24">
        <f t="shared" si="4"/>
        <v>78.31780400000001</v>
      </c>
      <c r="K24">
        <f t="shared" si="5"/>
        <v>140.835956</v>
      </c>
      <c r="L24">
        <f t="shared" si="6"/>
        <v>146.1985496774903</v>
      </c>
      <c r="M24">
        <f t="shared" si="7"/>
        <v>101.18885658917901</v>
      </c>
      <c r="N24">
        <f t="shared" si="8"/>
        <v>191.2082427658016</v>
      </c>
      <c r="O24">
        <f t="shared" si="0"/>
        <v>0.3179079279892229</v>
      </c>
      <c r="P24">
        <f t="shared" si="9"/>
        <v>0.22721810289092068</v>
      </c>
      <c r="Q24">
        <f t="shared" si="10"/>
        <v>0.4085977530875251</v>
      </c>
      <c r="R24">
        <f t="shared" si="11"/>
        <v>0.4241558803554217</v>
      </c>
      <c r="S24">
        <f t="shared" si="12"/>
        <v>0.2935723277927289</v>
      </c>
      <c r="T24">
        <f t="shared" si="13"/>
        <v>0.5547394329181145</v>
      </c>
      <c r="U24">
        <f t="shared" si="14"/>
        <v>-0.06385175990729806</v>
      </c>
      <c r="V24" s="6">
        <f t="shared" si="25"/>
        <v>12.439391408109088</v>
      </c>
      <c r="W24" s="6">
        <f t="shared" si="15"/>
        <v>8.609714638267842</v>
      </c>
      <c r="X24" s="6">
        <f t="shared" si="16"/>
        <v>16.269068177950338</v>
      </c>
      <c r="Y24" s="6">
        <f t="shared" si="17"/>
        <v>1.0851654042204804</v>
      </c>
      <c r="Z24" s="6">
        <f t="shared" si="18"/>
        <v>0.7510789040345127</v>
      </c>
      <c r="AA24" s="6">
        <f t="shared" si="19"/>
        <v>1.4192519044064478</v>
      </c>
      <c r="AB24">
        <f>IF(wshed_char_unis_excluded!DU24=1,Y24)</f>
        <v>1.0851654042204804</v>
      </c>
      <c r="AC24">
        <f>IF(wshed_char_unis_excluded!DU24=1,Z24)</f>
        <v>0.7510789040345127</v>
      </c>
      <c r="AD24">
        <f>IF(wshed_char_unis_excluded!DU24=1,AA24)</f>
        <v>1.4192519044064478</v>
      </c>
      <c r="AE24" t="b">
        <f>IF(wshed_char_unis_excluded!DV24=1,Y24)</f>
        <v>0</v>
      </c>
      <c r="AF24" t="b">
        <f>IF(wshed_char_unis_excluded!DV24=1,Z24)</f>
        <v>0</v>
      </c>
      <c r="AG24" t="b">
        <f>IF(wshed_char_unis_excluded!DV24=1,AA24)</f>
        <v>0</v>
      </c>
      <c r="AH24" s="8">
        <v>3908674.92371</v>
      </c>
      <c r="AI24" s="8"/>
      <c r="AJ24" s="8"/>
      <c r="AK24" s="8"/>
      <c r="AL24" s="8"/>
      <c r="AM24" s="7">
        <f t="shared" si="20"/>
        <v>0.8484455021486245</v>
      </c>
      <c r="AN24" s="7">
        <f t="shared" si="2"/>
        <v>0.3316297658382867</v>
      </c>
      <c r="AO24">
        <f>IF(wshed_char_unis_excluded!DS24=1,AN24,0)</f>
        <v>0.3316297658382867</v>
      </c>
      <c r="AP24">
        <f>IF(wshed_char_unis_excluded!DS24=1,0.831*(AH24/10000)/1000,0)</f>
        <v>0.32481088616030096</v>
      </c>
      <c r="AQ24">
        <f t="shared" si="21"/>
        <v>0.3062266918920405</v>
      </c>
      <c r="AR24" s="56">
        <f t="shared" si="22"/>
        <v>0.1196940591569087</v>
      </c>
      <c r="AS24">
        <f>IF(wshed_char_unis_excluded!DS24=1,AR24,0)</f>
        <v>0.1196940591569087</v>
      </c>
      <c r="AT24">
        <f>IF(wshed_char_unis_excluded!DS24=1,1.3384*(AH24/10000)/1000,0)</f>
        <v>0.5231370517893464</v>
      </c>
      <c r="AU24">
        <f t="shared" si="23"/>
        <v>1.3888862219361577</v>
      </c>
      <c r="AV24" s="56">
        <f t="shared" si="24"/>
        <v>0.5428704747568182</v>
      </c>
      <c r="AW24">
        <f>IF(wshed_char_unis_excluded!DS24=1,AV24,0)</f>
        <v>0.5428704747568182</v>
      </c>
      <c r="AX24">
        <f>IF(wshed_char_unis_excluded!DS24=1,0.278*(AH24/10000)/1000,0)</f>
        <v>0.108661162879138</v>
      </c>
    </row>
    <row r="25" spans="1:50" ht="12.75">
      <c r="A25" s="81" t="s">
        <v>661</v>
      </c>
      <c r="B25" s="81"/>
      <c r="C25" s="81"/>
      <c r="D25" s="81"/>
      <c r="E25">
        <v>58.114333469910925</v>
      </c>
      <c r="F25">
        <v>0.662841708719863</v>
      </c>
      <c r="G25" s="6">
        <v>41.23</v>
      </c>
      <c r="H25">
        <v>598.6547585311465</v>
      </c>
      <c r="I25">
        <f t="shared" si="3"/>
        <v>269.56174</v>
      </c>
      <c r="J25">
        <f t="shared" si="4"/>
        <v>192.663667</v>
      </c>
      <c r="K25">
        <f t="shared" si="5"/>
        <v>346.459813</v>
      </c>
      <c r="L25">
        <f t="shared" si="6"/>
        <v>98.10057289053972</v>
      </c>
      <c r="M25">
        <f t="shared" si="7"/>
        <v>67.89865442191527</v>
      </c>
      <c r="N25">
        <f t="shared" si="8"/>
        <v>128.30249135916418</v>
      </c>
      <c r="O25">
        <f t="shared" si="0"/>
        <v>14.00954234046115</v>
      </c>
      <c r="P25">
        <f t="shared" si="9"/>
        <v>10.013030040186742</v>
      </c>
      <c r="Q25">
        <f t="shared" si="10"/>
        <v>18.006054640735567</v>
      </c>
      <c r="R25">
        <f t="shared" si="11"/>
        <v>5.098439153618431</v>
      </c>
      <c r="S25">
        <f t="shared" si="12"/>
        <v>3.5287985378939966</v>
      </c>
      <c r="T25">
        <f t="shared" si="13"/>
        <v>6.668079769342866</v>
      </c>
      <c r="U25">
        <f t="shared" si="14"/>
        <v>-1.143815930999849</v>
      </c>
      <c r="V25" s="6">
        <f t="shared" si="25"/>
        <v>15.54037361234842</v>
      </c>
      <c r="W25" s="6">
        <f t="shared" si="15"/>
        <v>10.75600708947594</v>
      </c>
      <c r="X25" s="6">
        <f t="shared" si="16"/>
        <v>20.324740135220903</v>
      </c>
      <c r="Y25" s="6">
        <f t="shared" si="17"/>
        <v>0.5595915266184227</v>
      </c>
      <c r="Z25" s="6">
        <f t="shared" si="18"/>
        <v>0.38731182258936997</v>
      </c>
      <c r="AA25" s="6">
        <f t="shared" si="19"/>
        <v>0.7318712306474755</v>
      </c>
      <c r="AB25" t="b">
        <f>IF(wshed_char_unis_excluded!DU25=1,Y25)</f>
        <v>0</v>
      </c>
      <c r="AC25" t="b">
        <f>IF(wshed_char_unis_excluded!DU25=1,Z25)</f>
        <v>0</v>
      </c>
      <c r="AD25" t="b">
        <f>IF(wshed_char_unis_excluded!DU25=1,AA25)</f>
        <v>0</v>
      </c>
      <c r="AE25">
        <f>IF(wshed_char_unis_excluded!DV25=1,Y25)</f>
        <v>0.5595915266184227</v>
      </c>
      <c r="AF25">
        <f>IF(wshed_char_unis_excluded!DV25=1,Z25)</f>
        <v>0.38731182258936997</v>
      </c>
      <c r="AG25">
        <f>IF(wshed_char_unis_excluded!DV25=1,AA25)</f>
        <v>0.7318712306474755</v>
      </c>
      <c r="AH25" s="8">
        <v>91110013.4848</v>
      </c>
      <c r="AI25" s="8"/>
      <c r="AJ25" s="8"/>
      <c r="AK25" s="8"/>
      <c r="AL25" s="8"/>
      <c r="AM25" s="7">
        <f t="shared" si="20"/>
        <v>0.5693147436194903</v>
      </c>
      <c r="AN25" s="7">
        <f t="shared" si="2"/>
        <v>5.187027396826722</v>
      </c>
      <c r="AO25">
        <f>IF(wshed_char_unis_excluded!DS25=1,AN25,0)</f>
        <v>5.187027396826722</v>
      </c>
      <c r="AP25">
        <f>IF(wshed_char_unis_excluded!DS25=1,0.831*(AH25/10000)/1000,0)</f>
        <v>7.57124212058688</v>
      </c>
      <c r="AQ25">
        <f t="shared" si="21"/>
        <v>0.20548092970315754</v>
      </c>
      <c r="AR25" s="56">
        <f t="shared" si="22"/>
        <v>1.8721370276123925</v>
      </c>
      <c r="AS25">
        <f>IF(wshed_char_unis_excluded!DS25=1,AR25,0)</f>
        <v>1.8721370276123925</v>
      </c>
      <c r="AT25">
        <f>IF(wshed_char_unis_excluded!DS25=1,1.3384*(AH25/10000)/1000,0)</f>
        <v>12.194164204805633</v>
      </c>
      <c r="AU25">
        <f t="shared" si="23"/>
        <v>0.9319554424601274</v>
      </c>
      <c r="AV25" s="56">
        <f t="shared" si="24"/>
        <v>8.491047292977495</v>
      </c>
      <c r="AW25">
        <f>IF(wshed_char_unis_excluded!DS25=1,AV25,0)</f>
        <v>8.491047292977495</v>
      </c>
      <c r="AX25">
        <f>IF(wshed_char_unis_excluded!DS25=1,0.278*(AH25/10000)/1000,0)</f>
        <v>2.5328583748774403</v>
      </c>
    </row>
    <row r="26" spans="1:50" ht="12.75">
      <c r="A26" s="81" t="s">
        <v>662</v>
      </c>
      <c r="B26" s="81"/>
      <c r="C26" s="81"/>
      <c r="D26" s="81"/>
      <c r="E26">
        <v>1496.563885874887</v>
      </c>
      <c r="F26">
        <v>0.682766233470616</v>
      </c>
      <c r="G26" s="68">
        <v>8.81</v>
      </c>
      <c r="H26">
        <v>83.16109753238224</v>
      </c>
      <c r="I26">
        <f t="shared" si="3"/>
        <v>57.59978</v>
      </c>
      <c r="J26">
        <f t="shared" si="4"/>
        <v>41.168249</v>
      </c>
      <c r="K26">
        <f t="shared" si="5"/>
        <v>74.031311</v>
      </c>
      <c r="L26">
        <f t="shared" si="6"/>
        <v>101.04940255365118</v>
      </c>
      <c r="M26">
        <f t="shared" si="7"/>
        <v>69.93963706192598</v>
      </c>
      <c r="N26">
        <f t="shared" si="8"/>
        <v>132.15916804537636</v>
      </c>
      <c r="O26">
        <f t="shared" si="0"/>
        <v>77.09008446313332</v>
      </c>
      <c r="P26">
        <f t="shared" si="9"/>
        <v>55.09854017861361</v>
      </c>
      <c r="Q26">
        <f t="shared" si="10"/>
        <v>99.08162874765304</v>
      </c>
      <c r="R26">
        <f t="shared" si="11"/>
        <v>135.24195713612326</v>
      </c>
      <c r="S26">
        <f t="shared" si="12"/>
        <v>93.60543613924852</v>
      </c>
      <c r="T26">
        <f t="shared" si="13"/>
        <v>176.87847813299803</v>
      </c>
      <c r="U26">
        <f t="shared" si="14"/>
        <v>-29.45561812748017</v>
      </c>
      <c r="V26" s="6">
        <f t="shared" si="25"/>
        <v>60.236040057065296</v>
      </c>
      <c r="W26" s="6">
        <f t="shared" si="15"/>
        <v>41.6913576248211</v>
      </c>
      <c r="X26" s="6">
        <f t="shared" si="16"/>
        <v>78.7807224893095</v>
      </c>
      <c r="Y26" s="6">
        <f t="shared" si="17"/>
        <v>2.2991400804370032</v>
      </c>
      <c r="Z26" s="6">
        <f t="shared" si="18"/>
        <v>1.5913109698487888</v>
      </c>
      <c r="AA26" s="6">
        <f t="shared" si="19"/>
        <v>3.006969191025218</v>
      </c>
      <c r="AB26" t="b">
        <f>IF(wshed_char_unis_excluded!DU26=1,Y26)</f>
        <v>0</v>
      </c>
      <c r="AC26" t="b">
        <f>IF(wshed_char_unis_excluded!DU26=1,Z26)</f>
        <v>0</v>
      </c>
      <c r="AD26" t="b">
        <f>IF(wshed_char_unis_excluded!DU26=1,AA26)</f>
        <v>0</v>
      </c>
      <c r="AE26" t="b">
        <f>IF(wshed_char_unis_excluded!DV26=1,Y26)</f>
        <v>0</v>
      </c>
      <c r="AF26" t="b">
        <f>IF(wshed_char_unis_excluded!DV26=1,Z26)</f>
        <v>0</v>
      </c>
      <c r="AG26" t="b">
        <f>IF(wshed_char_unis_excluded!DV26=1,AA26)</f>
        <v>0</v>
      </c>
      <c r="AH26" s="67">
        <f>588.228435*1000000</f>
        <v>588228435</v>
      </c>
      <c r="AI26" s="227"/>
      <c r="AJ26" s="227"/>
      <c r="AK26" s="227"/>
      <c r="AL26" s="227"/>
      <c r="AM26" s="7">
        <f t="shared" si="20"/>
        <v>0.5864279179279122</v>
      </c>
      <c r="AN26" s="7">
        <f t="shared" si="2"/>
        <v>34.49535764030442</v>
      </c>
      <c r="AO26">
        <f>IF(wshed_char_unis_excluded!DS26=1,AN26,0)</f>
        <v>34.49535764030442</v>
      </c>
      <c r="AP26">
        <f>IF(wshed_char_unis_excluded!DS26=1,0.831*(AH26/10000)/1000,0)</f>
        <v>48.881782948499996</v>
      </c>
      <c r="AQ26">
        <f t="shared" si="21"/>
        <v>0.21165753237589097</v>
      </c>
      <c r="AR26" s="56">
        <f t="shared" si="22"/>
        <v>12.450297902543218</v>
      </c>
      <c r="AS26">
        <f>IF(wshed_char_unis_excluded!DS26=1,AR26,0)</f>
        <v>12.450297902543218</v>
      </c>
      <c r="AT26">
        <f>IF(wshed_char_unis_excluded!DS26=1,1.3384*(AH26/10000)/1000,0)</f>
        <v>78.72849374040001</v>
      </c>
      <c r="AU26">
        <f t="shared" si="23"/>
        <v>0.9599693242596861</v>
      </c>
      <c r="AV26" s="56">
        <f t="shared" si="24"/>
        <v>56.468125325728266</v>
      </c>
      <c r="AW26">
        <f>IF(wshed_char_unis_excluded!DS26=1,AV26,0)</f>
        <v>56.468125325728266</v>
      </c>
      <c r="AX26">
        <f>IF(wshed_char_unis_excluded!DS26=1,0.278*(AH26/10000)/1000,0)</f>
        <v>16.352750493000002</v>
      </c>
    </row>
    <row r="27" spans="1:50" ht="12.75">
      <c r="A27" s="81" t="s">
        <v>663</v>
      </c>
      <c r="B27" s="81"/>
      <c r="C27" s="81"/>
      <c r="D27" s="81"/>
      <c r="E27">
        <v>3.5643884579531666</v>
      </c>
      <c r="F27">
        <v>1.03583389209538</v>
      </c>
      <c r="G27" s="6">
        <v>6.1</v>
      </c>
      <c r="H27">
        <v>46.92438798991128</v>
      </c>
      <c r="I27">
        <f t="shared" si="3"/>
        <v>39.8818</v>
      </c>
      <c r="J27">
        <f t="shared" si="4"/>
        <v>28.50469</v>
      </c>
      <c r="K27">
        <f t="shared" si="5"/>
        <v>51.25891</v>
      </c>
      <c r="L27">
        <f t="shared" si="6"/>
        <v>153.30341603011624</v>
      </c>
      <c r="M27">
        <f t="shared" si="7"/>
        <v>106.10636982051471</v>
      </c>
      <c r="N27">
        <f t="shared" si="8"/>
        <v>200.50046223971776</v>
      </c>
      <c r="O27">
        <f t="shared" si="0"/>
        <v>0.12712829308718815</v>
      </c>
      <c r="P27">
        <f t="shared" si="9"/>
        <v>0.09086231275116571</v>
      </c>
      <c r="Q27">
        <f t="shared" si="10"/>
        <v>0.16339427342321058</v>
      </c>
      <c r="R27">
        <f t="shared" si="11"/>
        <v>0.4886740719913282</v>
      </c>
      <c r="S27">
        <f t="shared" si="12"/>
        <v>0.3382275042992034</v>
      </c>
      <c r="T27">
        <f t="shared" si="13"/>
        <v>0.6391206396834532</v>
      </c>
      <c r="U27">
        <f t="shared" si="14"/>
        <v>-0.07015488364139483</v>
      </c>
      <c r="V27" s="6">
        <f t="shared" si="25"/>
        <v>11.540465138042553</v>
      </c>
      <c r="W27" s="6">
        <f t="shared" si="15"/>
        <v>7.987538005006661</v>
      </c>
      <c r="X27" s="6">
        <f t="shared" si="16"/>
        <v>15.093392271078452</v>
      </c>
      <c r="Y27" s="6">
        <f t="shared" si="17"/>
        <v>1.1379015988303969</v>
      </c>
      <c r="Z27" s="6">
        <f t="shared" si="18"/>
        <v>0.7875793703196684</v>
      </c>
      <c r="AA27" s="6">
        <f t="shared" si="19"/>
        <v>1.4882238273411261</v>
      </c>
      <c r="AB27">
        <f>IF(wshed_char_unis_excluded!DU27=1,Y27)</f>
        <v>1.1379015988303969</v>
      </c>
      <c r="AC27">
        <f>IF(wshed_char_unis_excluded!DU27=1,Z27)</f>
        <v>0.7875793703196684</v>
      </c>
      <c r="AD27">
        <f>IF(wshed_char_unis_excluded!DU27=1,AA27)</f>
        <v>1.4882238273411261</v>
      </c>
      <c r="AE27" t="b">
        <f>IF(wshed_char_unis_excluded!DV27=1,Y27)</f>
        <v>0</v>
      </c>
      <c r="AF27" t="b">
        <f>IF(wshed_char_unis_excluded!DV27=1,Z27)</f>
        <v>0</v>
      </c>
      <c r="AG27" t="b">
        <f>IF(wshed_char_unis_excluded!DV27=1,AA27)</f>
        <v>0</v>
      </c>
      <c r="AH27" s="8">
        <v>4294519.60076</v>
      </c>
      <c r="AI27" s="8"/>
      <c r="AJ27" s="8"/>
      <c r="AK27" s="8"/>
      <c r="AL27" s="8"/>
      <c r="AM27" s="7">
        <f t="shared" si="20"/>
        <v>0.8896777299207219</v>
      </c>
      <c r="AN27" s="7">
        <f t="shared" si="2"/>
        <v>0.3820738449504201</v>
      </c>
      <c r="AO27">
        <f>IF(wshed_char_unis_excluded!DS27=1,AN27,0)</f>
        <v>0.3820738449504201</v>
      </c>
      <c r="AP27">
        <f>IF(wshed_char_unis_excluded!DS27=1,0.831*(AH27/10000)/1000,0)</f>
        <v>0.35687457882315593</v>
      </c>
      <c r="AQ27">
        <f t="shared" si="21"/>
        <v>0.3211085065495678</v>
      </c>
      <c r="AR27" s="56">
        <f t="shared" si="22"/>
        <v>0.13790067753478896</v>
      </c>
      <c r="AS27">
        <f>IF(wshed_char_unis_excluded!DS27=1,AR27,0)</f>
        <v>0.13790067753478896</v>
      </c>
      <c r="AT27">
        <f>IF(wshed_char_unis_excluded!DS27=1,1.3384*(AH27/10000)/1000,0)</f>
        <v>0.5747785033657183</v>
      </c>
      <c r="AU27">
        <f t="shared" si="23"/>
        <v>1.4563824522861042</v>
      </c>
      <c r="AV27" s="56">
        <f t="shared" si="24"/>
        <v>0.6254462987545589</v>
      </c>
      <c r="AW27">
        <f>IF(wshed_char_unis_excluded!DS27=1,AV27,0)</f>
        <v>0.6254462987545589</v>
      </c>
      <c r="AX27">
        <f>IF(wshed_char_unis_excluded!DS27=1,0.278*(AH27/10000)/1000,0)</f>
        <v>0.11938764490112799</v>
      </c>
    </row>
    <row r="28" spans="1:50" ht="12.75">
      <c r="A28" s="81" t="s">
        <v>664</v>
      </c>
      <c r="B28" s="81"/>
      <c r="C28" s="81"/>
      <c r="D28" s="81"/>
      <c r="E28">
        <v>23.679690925823163</v>
      </c>
      <c r="F28">
        <v>1.50868672857004</v>
      </c>
      <c r="G28" s="6">
        <v>13.49</v>
      </c>
      <c r="H28">
        <v>267.29712979352774</v>
      </c>
      <c r="I28">
        <f t="shared" si="3"/>
        <v>88.19762</v>
      </c>
      <c r="J28">
        <f t="shared" si="4"/>
        <v>63.037421</v>
      </c>
      <c r="K28">
        <f t="shared" si="5"/>
        <v>113.357819</v>
      </c>
      <c r="L28">
        <f t="shared" si="6"/>
        <v>223.28563582836594</v>
      </c>
      <c r="M28">
        <f t="shared" si="7"/>
        <v>154.54338112178203</v>
      </c>
      <c r="N28">
        <f t="shared" si="8"/>
        <v>292.0278905349498</v>
      </c>
      <c r="O28">
        <f t="shared" si="0"/>
        <v>1.8677353190719665</v>
      </c>
      <c r="P28">
        <f t="shared" si="9"/>
        <v>1.334925110506484</v>
      </c>
      <c r="Q28">
        <f t="shared" si="10"/>
        <v>2.4005455276374486</v>
      </c>
      <c r="R28">
        <f t="shared" si="11"/>
        <v>4.728454897967542</v>
      </c>
      <c r="S28">
        <f t="shared" si="12"/>
        <v>3.2727201850792804</v>
      </c>
      <c r="T28">
        <f t="shared" si="13"/>
        <v>6.1841896108558005</v>
      </c>
      <c r="U28">
        <f t="shared" si="14"/>
        <v>-0.46606759649291424</v>
      </c>
      <c r="V28" s="6">
        <f t="shared" si="25"/>
        <v>4.674880764407474</v>
      </c>
      <c r="W28" s="6">
        <f t="shared" si="15"/>
        <v>3.2356397535041515</v>
      </c>
      <c r="X28" s="6">
        <f t="shared" si="16"/>
        <v>6.114121775310793</v>
      </c>
      <c r="Y28" s="6">
        <f t="shared" si="17"/>
        <v>1.4614453947024517</v>
      </c>
      <c r="Z28" s="6">
        <f t="shared" si="18"/>
        <v>1.0115147433656884</v>
      </c>
      <c r="AA28" s="6">
        <f t="shared" si="19"/>
        <v>1.9113760460392142</v>
      </c>
      <c r="AB28">
        <f>IF(wshed_char_unis_excluded!DU28=1,Y28)</f>
        <v>1.4614453947024517</v>
      </c>
      <c r="AC28">
        <f>IF(wshed_char_unis_excluded!DU28=1,Z28)</f>
        <v>1.0115147433656884</v>
      </c>
      <c r="AD28">
        <f>IF(wshed_char_unis_excluded!DU28=1,AA28)</f>
        <v>1.9113760460392142</v>
      </c>
      <c r="AE28" t="b">
        <f>IF(wshed_char_unis_excluded!DV28=1,Y28)</f>
        <v>0</v>
      </c>
      <c r="AF28" t="b">
        <f>IF(wshed_char_unis_excluded!DV28=1,Z28)</f>
        <v>0</v>
      </c>
      <c r="AG28" t="b">
        <f>IF(wshed_char_unis_excluded!DV28=1,AA28)</f>
        <v>0</v>
      </c>
      <c r="AH28" s="8">
        <v>32354646.4008</v>
      </c>
      <c r="AI28" s="8"/>
      <c r="AJ28" s="8"/>
      <c r="AK28" s="8"/>
      <c r="AL28" s="8"/>
      <c r="AM28" s="7">
        <f t="shared" si="20"/>
        <v>1.2958110311688074</v>
      </c>
      <c r="AN28" s="7">
        <f t="shared" si="2"/>
        <v>4.192550771572279</v>
      </c>
      <c r="AO28">
        <f>IF(wshed_char_unis_excluded!DS28=1,AN28,0)</f>
        <v>4.192550771572279</v>
      </c>
      <c r="AP28">
        <f>IF(wshed_char_unis_excluded!DS28=1,0.831*(AH28/10000)/1000,0)</f>
        <v>2.68867111590648</v>
      </c>
      <c r="AQ28">
        <f t="shared" si="21"/>
        <v>0.4676928858567124</v>
      </c>
      <c r="AR28" s="56">
        <f t="shared" si="22"/>
        <v>1.5132037946063648</v>
      </c>
      <c r="AS28">
        <f>IF(wshed_char_unis_excluded!DS28=1,AR28,0)</f>
        <v>1.5132037946063648</v>
      </c>
      <c r="AT28">
        <f>IF(wshed_char_unis_excluded!DS28=1,1.3384*(AH28/10000)/1000,0)</f>
        <v>4.330345874283073</v>
      </c>
      <c r="AU28">
        <f t="shared" si="23"/>
        <v>2.1212135403694763</v>
      </c>
      <c r="AV28" s="56">
        <f t="shared" si="24"/>
        <v>6.86311140392435</v>
      </c>
      <c r="AW28">
        <f>IF(wshed_char_unis_excluded!DS28=1,AV28,0)</f>
        <v>6.86311140392435</v>
      </c>
      <c r="AX28">
        <f>IF(wshed_char_unis_excluded!DS28=1,0.278*(AH28/10000)/1000,0)</f>
        <v>0.8994591699422402</v>
      </c>
    </row>
    <row r="29" spans="1:50" ht="12.75">
      <c r="A29" s="81" t="s">
        <v>665</v>
      </c>
      <c r="B29" s="81"/>
      <c r="C29" s="81"/>
      <c r="D29" s="81"/>
      <c r="E29">
        <v>1.193776962249972</v>
      </c>
      <c r="F29">
        <v>1.24252134396317</v>
      </c>
      <c r="G29" s="6">
        <v>20.61</v>
      </c>
      <c r="H29">
        <v>603.8429235036409</v>
      </c>
      <c r="I29">
        <f t="shared" si="3"/>
        <v>134.74818</v>
      </c>
      <c r="J29">
        <f t="shared" si="4"/>
        <v>96.308469</v>
      </c>
      <c r="K29">
        <f t="shared" si="5"/>
        <v>173.187891</v>
      </c>
      <c r="L29">
        <f t="shared" si="6"/>
        <v>183.89315890654916</v>
      </c>
      <c r="M29">
        <f t="shared" si="7"/>
        <v>127.27854363380808</v>
      </c>
      <c r="N29">
        <f t="shared" si="8"/>
        <v>240.5077741792902</v>
      </c>
      <c r="O29">
        <f t="shared" si="0"/>
        <v>0.1438561845627947</v>
      </c>
      <c r="P29">
        <f t="shared" si="9"/>
        <v>0.10281822649793261</v>
      </c>
      <c r="Q29">
        <f t="shared" si="10"/>
        <v>0.18489414262765685</v>
      </c>
      <c r="R29">
        <f t="shared" si="11"/>
        <v>0.19632300939052294</v>
      </c>
      <c r="S29">
        <f t="shared" si="12"/>
        <v>0.13588165468259994</v>
      </c>
      <c r="T29">
        <f t="shared" si="13"/>
        <v>0.25676436409844594</v>
      </c>
      <c r="U29">
        <f t="shared" si="14"/>
        <v>-0.023496115776482234</v>
      </c>
      <c r="V29" s="6">
        <f t="shared" si="25"/>
        <v>8.282902405284066</v>
      </c>
      <c r="W29" s="6">
        <f t="shared" si="15"/>
        <v>5.732870985925385</v>
      </c>
      <c r="X29" s="6">
        <f t="shared" si="16"/>
        <v>10.832933824642748</v>
      </c>
      <c r="Y29" s="6">
        <f t="shared" si="17"/>
        <v>1.3649553607639557</v>
      </c>
      <c r="Z29" s="6">
        <f t="shared" si="18"/>
        <v>0.9447307962743806</v>
      </c>
      <c r="AA29" s="6">
        <f t="shared" si="19"/>
        <v>1.7851799252535305</v>
      </c>
      <c r="AB29">
        <f>IF(wshed_char_unis_excluded!DU29=1,Y29)</f>
        <v>1.3649553607639557</v>
      </c>
      <c r="AC29">
        <f>IF(wshed_char_unis_excluded!DU29=1,Z29)</f>
        <v>0.9447307962743806</v>
      </c>
      <c r="AD29">
        <f>IF(wshed_char_unis_excluded!DU29=1,AA29)</f>
        <v>1.7851799252535305</v>
      </c>
      <c r="AE29" t="b">
        <f>IF(wshed_char_unis_excluded!DV29=1,Y29)</f>
        <v>0</v>
      </c>
      <c r="AF29" t="b">
        <f>IF(wshed_char_unis_excluded!DV29=1,Z29)</f>
        <v>0</v>
      </c>
      <c r="AG29" t="b">
        <f>IF(wshed_char_unis_excluded!DV29=1,AA29)</f>
        <v>0</v>
      </c>
      <c r="AH29" s="8">
        <v>1438310.84176</v>
      </c>
      <c r="AI29" s="8"/>
      <c r="AJ29" s="8"/>
      <c r="AK29" s="8"/>
      <c r="AL29" s="8"/>
      <c r="AM29" s="7">
        <f t="shared" si="20"/>
        <v>1.0672015823299668</v>
      </c>
      <c r="AN29" s="7">
        <f t="shared" si="2"/>
        <v>0.15349676062086184</v>
      </c>
      <c r="AO29">
        <f>IF(wshed_char_unis_excluded!DS29=1,AN29,0)</f>
        <v>0.15349676062086184</v>
      </c>
      <c r="AP29">
        <f>IF(wshed_char_unis_excluded!DS29=1,0.831*(AH29/10000)/1000,0)</f>
        <v>0.11952363095025599</v>
      </c>
      <c r="AQ29">
        <f t="shared" si="21"/>
        <v>0.3851816166285827</v>
      </c>
      <c r="AR29" s="56">
        <f t="shared" si="22"/>
        <v>0.055401089524353436</v>
      </c>
      <c r="AS29">
        <f>IF(wshed_char_unis_excluded!DS29=1,AR29,0)</f>
        <v>0.055401089524353436</v>
      </c>
      <c r="AT29">
        <f>IF(wshed_char_unis_excluded!DS29=1,1.3384*(AH29/10000)/1000,0)</f>
        <v>0.1925035230611584</v>
      </c>
      <c r="AU29">
        <f t="shared" si="23"/>
        <v>1.7469850096122168</v>
      </c>
      <c r="AV29" s="56">
        <f t="shared" si="24"/>
        <v>0.2512707479717449</v>
      </c>
      <c r="AW29">
        <f>IF(wshed_char_unis_excluded!DS29=1,AV29,0)</f>
        <v>0.2512707479717449</v>
      </c>
      <c r="AX29">
        <f>IF(wshed_char_unis_excluded!DS29=1,0.278*(AH29/10000)/1000,0)</f>
        <v>0.039985041400928005</v>
      </c>
    </row>
    <row r="30" spans="1:50" ht="12.75">
      <c r="A30" s="81" t="s">
        <v>666</v>
      </c>
      <c r="B30" s="81"/>
      <c r="C30" s="81"/>
      <c r="D30" s="81"/>
      <c r="E30">
        <v>533.4751651846918</v>
      </c>
      <c r="F30">
        <v>0</v>
      </c>
      <c r="G30" s="6">
        <v>2.66</v>
      </c>
      <c r="H30">
        <v>54.341908311789076</v>
      </c>
      <c r="I30">
        <f t="shared" si="3"/>
        <v>17.391080000000002</v>
      </c>
      <c r="J30">
        <f t="shared" si="4"/>
        <v>12.429914000000002</v>
      </c>
      <c r="K30">
        <f t="shared" si="5"/>
        <v>22.352246</v>
      </c>
      <c r="L30">
        <f t="shared" si="6"/>
        <v>0</v>
      </c>
      <c r="M30">
        <f t="shared" si="7"/>
        <v>0</v>
      </c>
      <c r="N30">
        <f t="shared" si="8"/>
        <v>0</v>
      </c>
      <c r="O30">
        <f t="shared" si="0"/>
        <v>8.297040220871619</v>
      </c>
      <c r="P30">
        <f t="shared" si="9"/>
        <v>5.930137541772864</v>
      </c>
      <c r="Q30">
        <f t="shared" si="10"/>
        <v>10.66394289997037</v>
      </c>
      <c r="R30">
        <f t="shared" si="11"/>
        <v>0</v>
      </c>
      <c r="S30">
        <f t="shared" si="12"/>
        <v>0</v>
      </c>
      <c r="T30">
        <f t="shared" si="13"/>
        <v>0</v>
      </c>
      <c r="U30">
        <v>0</v>
      </c>
      <c r="V30" s="6">
        <v>0</v>
      </c>
      <c r="W30" s="6" t="e">
        <f t="shared" si="15"/>
        <v>#DIV/0!</v>
      </c>
      <c r="X30" s="6" t="e">
        <f t="shared" si="16"/>
        <v>#DIV/0!</v>
      </c>
      <c r="Y30" s="6">
        <f t="shared" si="17"/>
        <v>0</v>
      </c>
      <c r="Z30" s="6">
        <f t="shared" si="18"/>
        <v>0</v>
      </c>
      <c r="AA30" s="6">
        <f t="shared" si="19"/>
        <v>0</v>
      </c>
      <c r="AB30" t="b">
        <f>IF(wshed_char_unis_excluded!DU30=1,Y30)</f>
        <v>0</v>
      </c>
      <c r="AC30" t="b">
        <f>IF(wshed_char_unis_excluded!DU30=1,Z30)</f>
        <v>0</v>
      </c>
      <c r="AD30" t="b">
        <f>IF(wshed_char_unis_excluded!DU30=1,AA30)</f>
        <v>0</v>
      </c>
      <c r="AE30" t="b">
        <f>IF(wshed_char_unis_excluded!DV30=1,Y30)</f>
        <v>0</v>
      </c>
      <c r="AF30" t="b">
        <f>IF(wshed_char_unis_excluded!DV30=1,Z30)</f>
        <v>0</v>
      </c>
      <c r="AG30" t="b">
        <f>IF(wshed_char_unis_excluded!DV30=1,AA30)</f>
        <v>0</v>
      </c>
      <c r="AH30" s="8">
        <v>146815175.058</v>
      </c>
      <c r="AI30" s="8"/>
      <c r="AJ30" s="8"/>
      <c r="AK30" s="8"/>
      <c r="AL30" s="8"/>
      <c r="AM30" s="7">
        <f t="shared" si="20"/>
        <v>0</v>
      </c>
      <c r="AN30" s="7">
        <f t="shared" si="2"/>
        <v>0</v>
      </c>
      <c r="AO30">
        <f>IF(wshed_char_unis_excluded!DS30=1,AN30,0)</f>
        <v>0</v>
      </c>
      <c r="AP30">
        <f>IF(wshed_char_unis_excluded!DS30=1,0.831*(AH30/10000)/1000,0)</f>
        <v>0</v>
      </c>
      <c r="AQ30">
        <f t="shared" si="21"/>
        <v>0</v>
      </c>
      <c r="AR30" s="56">
        <f t="shared" si="22"/>
        <v>0</v>
      </c>
      <c r="AS30">
        <f>IF(wshed_char_unis_excluded!DS30=1,AR30,0)</f>
        <v>0</v>
      </c>
      <c r="AT30">
        <f>IF(wshed_char_unis_excluded!DS30=1,1.3384*(AH30/10000)/1000,0)</f>
        <v>0</v>
      </c>
      <c r="AU30">
        <f t="shared" si="23"/>
        <v>0</v>
      </c>
      <c r="AV30" s="56">
        <f t="shared" si="24"/>
        <v>0</v>
      </c>
      <c r="AW30">
        <f>IF(wshed_char_unis_excluded!DS30=1,AV30,0)</f>
        <v>0</v>
      </c>
      <c r="AX30">
        <f>IF(wshed_char_unis_excluded!DS30=1,0.278*(AH30/10000)/1000,0)</f>
        <v>0</v>
      </c>
    </row>
    <row r="31" spans="1:50" ht="12.75">
      <c r="A31" s="81" t="s">
        <v>667</v>
      </c>
      <c r="B31" s="81"/>
      <c r="C31" s="81"/>
      <c r="D31" s="81"/>
      <c r="E31">
        <v>8.205693430656918</v>
      </c>
      <c r="F31">
        <v>1.79538044742711</v>
      </c>
      <c r="G31" s="68">
        <v>29.54</v>
      </c>
      <c r="H31">
        <v>516.1215185107466</v>
      </c>
      <c r="I31">
        <f t="shared" si="3"/>
        <v>193.13252</v>
      </c>
      <c r="J31">
        <f t="shared" si="4"/>
        <v>138.037466</v>
      </c>
      <c r="K31">
        <f t="shared" si="5"/>
        <v>248.227574</v>
      </c>
      <c r="L31">
        <f t="shared" si="6"/>
        <v>265.7163062192123</v>
      </c>
      <c r="M31">
        <f t="shared" si="7"/>
        <v>183.9110528985092</v>
      </c>
      <c r="N31">
        <f t="shared" si="8"/>
        <v>347.52155953991536</v>
      </c>
      <c r="O31">
        <f t="shared" si="0"/>
        <v>1.417271750170059</v>
      </c>
      <c r="P31">
        <f t="shared" si="9"/>
        <v>1.012965610487866</v>
      </c>
      <c r="Q31">
        <f t="shared" si="10"/>
        <v>1.8215778898522517</v>
      </c>
      <c r="R31">
        <f t="shared" si="11"/>
        <v>1.9499161216558782</v>
      </c>
      <c r="S31">
        <f t="shared" si="12"/>
        <v>1.3496015058317907</v>
      </c>
      <c r="T31">
        <f t="shared" si="13"/>
        <v>2.5502307374799655</v>
      </c>
      <c r="U31">
        <f t="shared" si="14"/>
        <v>-0.1615058163877204</v>
      </c>
      <c r="V31" s="6">
        <f aca="true" t="shared" si="26" ref="V31:V44">R31/((10^F31-1)*(AH31/1000000))*1000</f>
        <v>2.4281560184197857</v>
      </c>
      <c r="W31" s="6">
        <f t="shared" si="15"/>
        <v>1.6806071720002949</v>
      </c>
      <c r="X31" s="6">
        <f t="shared" si="16"/>
        <v>3.1757048648392767</v>
      </c>
      <c r="Y31" s="6">
        <f t="shared" si="17"/>
        <v>1.491571259159662</v>
      </c>
      <c r="Z31" s="6">
        <f t="shared" si="18"/>
        <v>1.0323658515669012</v>
      </c>
      <c r="AA31" s="6">
        <f t="shared" si="19"/>
        <v>1.9507766667524227</v>
      </c>
      <c r="AB31">
        <f>IF(wshed_char_unis_excluded!DU31=1,Y31)</f>
        <v>1.491571259159662</v>
      </c>
      <c r="AC31">
        <f>IF(wshed_char_unis_excluded!DU31=1,Z31)</f>
        <v>1.0323658515669012</v>
      </c>
      <c r="AD31">
        <f>IF(wshed_char_unis_excluded!DU31=1,AA31)</f>
        <v>1.9507766667524227</v>
      </c>
      <c r="AE31" t="b">
        <f>IF(wshed_char_unis_excluded!DV31=1,Y31)</f>
        <v>0</v>
      </c>
      <c r="AF31" t="b">
        <f>IF(wshed_char_unis_excluded!DV31=1,Z31)</f>
        <v>0</v>
      </c>
      <c r="AG31" t="b">
        <f>IF(wshed_char_unis_excluded!DV31=1,AA31)</f>
        <v>0</v>
      </c>
      <c r="AH31" s="8">
        <v>13072899.5325</v>
      </c>
      <c r="AI31" s="8"/>
      <c r="AJ31" s="8"/>
      <c r="AK31" s="8"/>
      <c r="AL31" s="8"/>
      <c r="AM31" s="7">
        <f t="shared" si="20"/>
        <v>1.5420522662951448</v>
      </c>
      <c r="AN31" s="7">
        <f t="shared" si="2"/>
        <v>2.0159094351140365</v>
      </c>
      <c r="AO31">
        <f>IF(wshed_char_unis_excluded!DS31=1,AN31,0)</f>
        <v>2.0159094351140365</v>
      </c>
      <c r="AP31">
        <f>IF(wshed_char_unis_excluded!DS31=1,0.831*(AH31/10000)/1000,0)</f>
        <v>1.0863579511507502</v>
      </c>
      <c r="AQ31">
        <f t="shared" si="21"/>
        <v>0.5565679387024041</v>
      </c>
      <c r="AR31" s="56">
        <f t="shared" si="22"/>
        <v>0.7275956745667147</v>
      </c>
      <c r="AS31">
        <f>IF(wshed_char_unis_excluded!DS31=1,AR31,0)</f>
        <v>0.7275956745667147</v>
      </c>
      <c r="AT31">
        <f>IF(wshed_char_unis_excluded!DS31=1,1.3384*(AH31/10000)/1000,0)</f>
        <v>1.7496768734298</v>
      </c>
      <c r="AU31">
        <f t="shared" si="23"/>
        <v>2.5243049090825167</v>
      </c>
      <c r="AV31" s="56">
        <f t="shared" si="24"/>
        <v>3.299998446583229</v>
      </c>
      <c r="AW31">
        <f>IF(wshed_char_unis_excluded!DS31=1,AV31,0)</f>
        <v>3.299998446583229</v>
      </c>
      <c r="AX31">
        <f>IF(wshed_char_unis_excluded!DS31=1,0.278*(AH31/10000)/1000,0)</f>
        <v>0.36342660700350005</v>
      </c>
    </row>
    <row r="32" spans="1:50" ht="12.75">
      <c r="A32" s="81" t="s">
        <v>668</v>
      </c>
      <c r="B32" s="81"/>
      <c r="C32" s="81"/>
      <c r="D32" s="81"/>
      <c r="E32">
        <v>3.420950716942969</v>
      </c>
      <c r="F32">
        <v>0.497325136194527</v>
      </c>
      <c r="G32" s="68">
        <v>49.61059756896426</v>
      </c>
      <c r="H32">
        <v>13.616006704217742</v>
      </c>
      <c r="I32">
        <f t="shared" si="3"/>
        <v>324.3540869058883</v>
      </c>
      <c r="J32">
        <f t="shared" si="4"/>
        <v>231.8253613800131</v>
      </c>
      <c r="K32">
        <f t="shared" si="5"/>
        <v>416.88281243176357</v>
      </c>
      <c r="L32">
        <f t="shared" si="6"/>
        <v>73.60412015679</v>
      </c>
      <c r="M32">
        <f t="shared" si="7"/>
        <v>50.94384845368171</v>
      </c>
      <c r="N32">
        <f t="shared" si="8"/>
        <v>96.26439185989828</v>
      </c>
      <c r="O32">
        <f t="shared" si="0"/>
        <v>0.9923128792237118</v>
      </c>
      <c r="P32">
        <f t="shared" si="9"/>
        <v>0.709235064748315</v>
      </c>
      <c r="Q32">
        <f t="shared" si="10"/>
        <v>1.2753906936991088</v>
      </c>
      <c r="R32">
        <f t="shared" si="11"/>
        <v>0.22518081116919758</v>
      </c>
      <c r="S32">
        <f t="shared" si="12"/>
        <v>0.15585509472084164</v>
      </c>
      <c r="T32">
        <f t="shared" si="13"/>
        <v>0.2945065276175534</v>
      </c>
      <c r="U32">
        <f t="shared" si="14"/>
        <v>-0.06733171827963358</v>
      </c>
      <c r="V32" s="6">
        <f t="shared" si="26"/>
        <v>25.49535452398628</v>
      </c>
      <c r="W32" s="6">
        <f t="shared" si="15"/>
        <v>17.64617896900473</v>
      </c>
      <c r="X32" s="6">
        <f t="shared" si="16"/>
        <v>33.344530078967814</v>
      </c>
      <c r="Y32" s="6">
        <f t="shared" si="17"/>
        <v>0.5463299395133017</v>
      </c>
      <c r="Z32" s="6">
        <f t="shared" si="18"/>
        <v>0.37813303908785606</v>
      </c>
      <c r="AA32" s="6">
        <f t="shared" si="19"/>
        <v>0.7145268399387471</v>
      </c>
      <c r="AB32">
        <f>IF(wshed_char_unis_excluded!DU32=1,Y32)</f>
        <v>0.5463299395133017</v>
      </c>
      <c r="AC32">
        <f>IF(wshed_char_unis_excluded!DU32=1,Z32)</f>
        <v>0.37813303908785606</v>
      </c>
      <c r="AD32">
        <f>IF(wshed_char_unis_excluded!DU32=1,AA32)</f>
        <v>0.7145268399387471</v>
      </c>
      <c r="AE32" t="b">
        <f>IF(wshed_char_unis_excluded!DV32=1,Y32)</f>
        <v>0</v>
      </c>
      <c r="AF32" t="b">
        <f>IF(wshed_char_unis_excluded!DV32=1,Z32)</f>
        <v>0</v>
      </c>
      <c r="AG32" t="b">
        <f>IF(wshed_char_unis_excluded!DV32=1,AA32)</f>
        <v>0</v>
      </c>
      <c r="AH32" s="8">
        <v>4121700</v>
      </c>
      <c r="AI32" s="8"/>
      <c r="AJ32" s="8"/>
      <c r="AK32" s="8"/>
      <c r="AL32" s="8"/>
      <c r="AM32" s="7">
        <f t="shared" si="20"/>
        <v>0.42715255947747927</v>
      </c>
      <c r="AN32" s="7">
        <f t="shared" si="2"/>
        <v>0.17605947043983264</v>
      </c>
      <c r="AO32">
        <f>IF(wshed_char_unis_excluded!DS32=1,AN32,0)</f>
        <v>0.17605947043983264</v>
      </c>
      <c r="AP32">
        <f>IF(wshed_char_unis_excluded!DS32=1,0.831*(AH32/10000)/1000,0)</f>
        <v>0.34251327</v>
      </c>
      <c r="AQ32">
        <f t="shared" si="21"/>
        <v>0.15417079222030336</v>
      </c>
      <c r="AR32" s="56">
        <f t="shared" si="22"/>
        <v>0.06354457542944245</v>
      </c>
      <c r="AS32">
        <f>IF(wshed_char_unis_excluded!DS32=1,AR32,0)</f>
        <v>0.06354457542944245</v>
      </c>
      <c r="AT32">
        <f>IF(wshed_char_unis_excluded!DS32=1,1.3384*(AH32/10000)/1000,0)</f>
        <v>0.551648328</v>
      </c>
      <c r="AU32">
        <f t="shared" si="23"/>
        <v>0.699239141489505</v>
      </c>
      <c r="AV32" s="56">
        <f t="shared" si="24"/>
        <v>0.28820539694772923</v>
      </c>
      <c r="AW32">
        <f>IF(wshed_char_unis_excluded!DS32=1,AV32,0)</f>
        <v>0.28820539694772923</v>
      </c>
      <c r="AX32">
        <f>IF(wshed_char_unis_excluded!DS32=1,0.278*(AH32/10000)/1000,0)</f>
        <v>0.11458326</v>
      </c>
    </row>
    <row r="33" spans="1:50" ht="12.75">
      <c r="A33" s="81" t="s">
        <v>669</v>
      </c>
      <c r="B33" s="81"/>
      <c r="C33" s="81"/>
      <c r="D33" s="81"/>
      <c r="E33">
        <v>1496.563885874887</v>
      </c>
      <c r="F33">
        <v>0.660241142016433</v>
      </c>
      <c r="G33" s="68">
        <v>8.81</v>
      </c>
      <c r="H33">
        <v>81.54650081360565</v>
      </c>
      <c r="I33">
        <f t="shared" si="3"/>
        <v>57.59978</v>
      </c>
      <c r="J33">
        <f t="shared" si="4"/>
        <v>41.168249</v>
      </c>
      <c r="K33">
        <f t="shared" si="5"/>
        <v>74.031311</v>
      </c>
      <c r="L33">
        <f t="shared" si="6"/>
        <v>97.71568901843209</v>
      </c>
      <c r="M33">
        <f t="shared" si="7"/>
        <v>67.63226355125272</v>
      </c>
      <c r="N33">
        <f t="shared" si="8"/>
        <v>127.79911448561145</v>
      </c>
      <c r="O33">
        <f t="shared" si="0"/>
        <v>77.09008446313332</v>
      </c>
      <c r="P33">
        <f t="shared" si="9"/>
        <v>55.09854017861361</v>
      </c>
      <c r="Q33">
        <f t="shared" si="10"/>
        <v>99.08162874765304</v>
      </c>
      <c r="R33">
        <f t="shared" si="11"/>
        <v>130.78019950430712</v>
      </c>
      <c r="S33">
        <f t="shared" si="12"/>
        <v>90.51730596191454</v>
      </c>
      <c r="T33">
        <f t="shared" si="13"/>
        <v>171.0430930466997</v>
      </c>
      <c r="U33">
        <f t="shared" si="14"/>
        <v>-29.45561812748017</v>
      </c>
      <c r="V33" s="6">
        <f t="shared" si="26"/>
        <v>58.24879721374802</v>
      </c>
      <c r="W33" s="6">
        <f t="shared" si="15"/>
        <v>40.31592105911032</v>
      </c>
      <c r="X33" s="6">
        <f t="shared" si="16"/>
        <v>76.18167336838572</v>
      </c>
      <c r="Y33" s="6">
        <f t="shared" si="17"/>
        <v>2.0814745090534092</v>
      </c>
      <c r="Z33" s="6">
        <f t="shared" si="18"/>
        <v>1.4406574213989345</v>
      </c>
      <c r="AA33" s="6">
        <f t="shared" si="19"/>
        <v>2.722291596707884</v>
      </c>
      <c r="AB33" t="b">
        <f>IF(wshed_char_unis_excluded!DU33=1,Y33)</f>
        <v>0</v>
      </c>
      <c r="AC33" t="b">
        <f>IF(wshed_char_unis_excluded!DU33=1,Z33)</f>
        <v>0</v>
      </c>
      <c r="AD33" t="b">
        <f>IF(wshed_char_unis_excluded!DU33=1,AA33)</f>
        <v>0</v>
      </c>
      <c r="AE33" t="b">
        <f>IF(wshed_char_unis_excluded!DV33=1,Y33)</f>
        <v>0</v>
      </c>
      <c r="AF33" t="b">
        <f>IF(wshed_char_unis_excluded!DV33=1,Z33)</f>
        <v>0</v>
      </c>
      <c r="AG33" t="b">
        <f>IF(wshed_char_unis_excluded!DV33=1,AA33)</f>
        <v>0</v>
      </c>
      <c r="AH33" s="70">
        <v>628305554.238</v>
      </c>
      <c r="AI33" s="70"/>
      <c r="AJ33" s="70"/>
      <c r="AK33" s="70"/>
      <c r="AL33" s="70"/>
      <c r="AM33" s="7">
        <f t="shared" si="20"/>
        <v>0.5670811168779143</v>
      </c>
      <c r="AN33" s="7">
        <f t="shared" si="2"/>
        <v>35.6300215437882</v>
      </c>
      <c r="AO33">
        <f>IF(wshed_char_unis_excluded!DS33=1,AN33,0)</f>
        <v>0</v>
      </c>
      <c r="AP33">
        <f>IF(wshed_char_unis_excluded!DS33=1,0.831*(AH33/10000)/1000,0)</f>
        <v>0</v>
      </c>
      <c r="AQ33">
        <f t="shared" si="21"/>
        <v>0.20467475402509425</v>
      </c>
      <c r="AR33" s="56">
        <f t="shared" si="22"/>
        <v>12.859828476626317</v>
      </c>
      <c r="AS33">
        <f>IF(wshed_char_unis_excluded!DS33=1,AR33,0)</f>
        <v>0</v>
      </c>
      <c r="AT33">
        <f>IF(wshed_char_unis_excluded!DS33=1,1.3384*(AH33/10000)/1000,0)</f>
        <v>0</v>
      </c>
      <c r="AU33">
        <f t="shared" si="23"/>
        <v>0.9282990456751048</v>
      </c>
      <c r="AV33" s="56">
        <f t="shared" si="24"/>
        <v>58.32554463915032</v>
      </c>
      <c r="AW33">
        <f>IF(wshed_char_unis_excluded!DS33=1,AV33,0)</f>
        <v>0</v>
      </c>
      <c r="AX33">
        <f>IF(wshed_char_unis_excluded!DS33=1,0.278*(AH33/10000)/1000,0)</f>
        <v>0</v>
      </c>
    </row>
    <row r="34" spans="1:50" ht="12.75">
      <c r="A34" s="81" t="s">
        <v>670</v>
      </c>
      <c r="B34" s="81"/>
      <c r="C34" s="81"/>
      <c r="D34" s="81"/>
      <c r="E34">
        <v>12.852183630901285</v>
      </c>
      <c r="F34">
        <v>1.37965799646499</v>
      </c>
      <c r="G34" s="6">
        <v>21.43</v>
      </c>
      <c r="H34">
        <v>265.55023755931995</v>
      </c>
      <c r="I34">
        <f t="shared" si="3"/>
        <v>140.10934</v>
      </c>
      <c r="J34">
        <f t="shared" si="4"/>
        <v>100.140247</v>
      </c>
      <c r="K34">
        <f t="shared" si="5"/>
        <v>180.078433</v>
      </c>
      <c r="L34">
        <f t="shared" si="6"/>
        <v>204.1893834768185</v>
      </c>
      <c r="M34">
        <f t="shared" si="7"/>
        <v>141.32623262848878</v>
      </c>
      <c r="N34">
        <f t="shared" si="8"/>
        <v>267.05253432514826</v>
      </c>
      <c r="O34">
        <f t="shared" si="0"/>
        <v>1.6103728698240256</v>
      </c>
      <c r="P34">
        <f t="shared" si="9"/>
        <v>1.1509806337413107</v>
      </c>
      <c r="Q34">
        <f t="shared" si="10"/>
        <v>2.06976510590674</v>
      </c>
      <c r="R34">
        <f t="shared" si="11"/>
        <v>2.3468888188122414</v>
      </c>
      <c r="S34">
        <f t="shared" si="12"/>
        <v>1.624359452548683</v>
      </c>
      <c r="T34">
        <f t="shared" si="13"/>
        <v>3.069418185075799</v>
      </c>
      <c r="U34">
        <f t="shared" si="14"/>
        <v>-0.25295880564080925</v>
      </c>
      <c r="V34" s="6">
        <f t="shared" si="26"/>
        <v>6.598352495268929</v>
      </c>
      <c r="W34" s="6">
        <f t="shared" si="15"/>
        <v>4.566938220943374</v>
      </c>
      <c r="X34" s="6">
        <f t="shared" si="16"/>
        <v>8.62976676959448</v>
      </c>
      <c r="Y34" s="6">
        <f t="shared" si="17"/>
        <v>1.5156050135035355</v>
      </c>
      <c r="Z34" s="6">
        <f t="shared" si="18"/>
        <v>1.0490004086604332</v>
      </c>
      <c r="AA34" s="6">
        <f t="shared" si="19"/>
        <v>1.9822096183466376</v>
      </c>
      <c r="AB34">
        <f>IF(wshed_char_unis_excluded!DU34=1,Y34)</f>
        <v>1.5156050135035355</v>
      </c>
      <c r="AC34">
        <f>IF(wshed_char_unis_excluded!DU34=1,Z34)</f>
        <v>1.0490004086604332</v>
      </c>
      <c r="AD34">
        <f>IF(wshed_char_unis_excluded!DU34=1,AA34)</f>
        <v>1.9822096183466376</v>
      </c>
      <c r="AE34" t="b">
        <f>IF(wshed_char_unis_excluded!DV34=1,Y34)</f>
        <v>0</v>
      </c>
      <c r="AF34" t="b">
        <f>IF(wshed_char_unis_excluded!DV34=1,Z34)</f>
        <v>0</v>
      </c>
      <c r="AG34" t="b">
        <f>IF(wshed_char_unis_excluded!DV34=1,AA34)</f>
        <v>0</v>
      </c>
      <c r="AH34" s="8">
        <v>15484831.4561</v>
      </c>
      <c r="AI34" s="8"/>
      <c r="AJ34" s="8"/>
      <c r="AK34" s="8"/>
      <c r="AL34" s="8"/>
      <c r="AM34" s="7">
        <f t="shared" si="20"/>
        <v>1.1849882531637799</v>
      </c>
      <c r="AN34" s="7">
        <f t="shared" si="2"/>
        <v>1.834934337769949</v>
      </c>
      <c r="AO34">
        <f>IF(wshed_char_unis_excluded!DS34=1,AN34,0)</f>
        <v>1.834934337769949</v>
      </c>
      <c r="AP34">
        <f>IF(wshed_char_unis_excluded!DS34=1,0.831*(AH34/10000)/1000,0)</f>
        <v>1.28678949400191</v>
      </c>
      <c r="AQ34">
        <f t="shared" si="21"/>
        <v>0.4276939789041469</v>
      </c>
      <c r="AR34" s="56">
        <f t="shared" si="22"/>
        <v>0.6622769178119504</v>
      </c>
      <c r="AS34">
        <f>IF(wshed_char_unis_excluded!DS34=1,AR34,0)</f>
        <v>0.6622769178119504</v>
      </c>
      <c r="AT34">
        <f>IF(wshed_char_unis_excluded!DS34=1,1.3384*(AH34/10000)/1000,0)</f>
        <v>2.0724898420844244</v>
      </c>
      <c r="AU34">
        <f t="shared" si="23"/>
        <v>1.9397991430297759</v>
      </c>
      <c r="AV34" s="56">
        <f t="shared" si="24"/>
        <v>3.00374627885033</v>
      </c>
      <c r="AW34">
        <f>IF(wshed_char_unis_excluded!DS34=1,AV34,0)</f>
        <v>3.00374627885033</v>
      </c>
      <c r="AX34">
        <f>IF(wshed_char_unis_excluded!DS34=1,0.278*(AH34/10000)/1000,0)</f>
        <v>0.43047831447958</v>
      </c>
    </row>
    <row r="35" spans="1:50" ht="12.75">
      <c r="A35" s="81" t="s">
        <v>671</v>
      </c>
      <c r="B35" s="81"/>
      <c r="C35" s="81"/>
      <c r="D35" s="81"/>
      <c r="E35">
        <v>3.9787909401835715</v>
      </c>
      <c r="F35">
        <v>1.0914136108693</v>
      </c>
      <c r="G35" s="6">
        <v>21</v>
      </c>
      <c r="H35">
        <v>200.92063721027932</v>
      </c>
      <c r="I35">
        <f t="shared" si="3"/>
        <v>137.298</v>
      </c>
      <c r="J35">
        <f t="shared" si="4"/>
        <v>98.13090000000001</v>
      </c>
      <c r="K35">
        <f t="shared" si="5"/>
        <v>176.4651</v>
      </c>
      <c r="L35">
        <f t="shared" si="6"/>
        <v>161.5292144086564</v>
      </c>
      <c r="M35">
        <f t="shared" si="7"/>
        <v>111.79971721892436</v>
      </c>
      <c r="N35">
        <f t="shared" si="8"/>
        <v>211.25871159838846</v>
      </c>
      <c r="O35">
        <f t="shared" si="0"/>
        <v>0.4885373443625564</v>
      </c>
      <c r="P35">
        <f t="shared" si="9"/>
        <v>0.3491719419504115</v>
      </c>
      <c r="Q35">
        <f t="shared" si="10"/>
        <v>0.6279027467747014</v>
      </c>
      <c r="R35">
        <f t="shared" si="11"/>
        <v>0.5747574869566562</v>
      </c>
      <c r="S35">
        <f t="shared" si="12"/>
        <v>0.3978086858557159</v>
      </c>
      <c r="T35">
        <f t="shared" si="13"/>
        <v>0.7517062880575965</v>
      </c>
      <c r="U35">
        <f t="shared" si="14"/>
        <v>-0.07831122189254995</v>
      </c>
      <c r="V35" s="6">
        <f t="shared" si="26"/>
        <v>10.570213754738544</v>
      </c>
      <c r="W35" s="6">
        <f t="shared" si="15"/>
        <v>7.315994899434265</v>
      </c>
      <c r="X35" s="6">
        <f t="shared" si="16"/>
        <v>13.824432610042827</v>
      </c>
      <c r="Y35" s="6">
        <f t="shared" si="17"/>
        <v>1.1989579625369866</v>
      </c>
      <c r="Z35" s="6">
        <f t="shared" si="18"/>
        <v>0.8298385011016893</v>
      </c>
      <c r="AA35" s="6">
        <f t="shared" si="19"/>
        <v>1.5680774239722841</v>
      </c>
      <c r="AB35">
        <f>IF(wshed_char_unis_excluded!DU35=1,Y35)</f>
        <v>1.1989579625369866</v>
      </c>
      <c r="AC35">
        <f>IF(wshed_char_unis_excluded!DU35=1,Z35)</f>
        <v>0.8298385011016893</v>
      </c>
      <c r="AD35">
        <f>IF(wshed_char_unis_excluded!DU35=1,AA35)</f>
        <v>1.5680774239722841</v>
      </c>
      <c r="AE35" t="b">
        <f>IF(wshed_char_unis_excluded!DV35=1,Y35)</f>
        <v>0</v>
      </c>
      <c r="AF35" t="b">
        <f>IF(wshed_char_unis_excluded!DV35=1,Z35)</f>
        <v>0</v>
      </c>
      <c r="AG35" t="b">
        <f>IF(wshed_char_unis_excluded!DV35=1,AA35)</f>
        <v>0</v>
      </c>
      <c r="AH35" s="8">
        <v>4793808.49801</v>
      </c>
      <c r="AI35" s="8"/>
      <c r="AJ35" s="8"/>
      <c r="AK35" s="8"/>
      <c r="AL35" s="8"/>
      <c r="AM35" s="7">
        <f t="shared" si="20"/>
        <v>0.9374151503756417</v>
      </c>
      <c r="AN35" s="7">
        <f t="shared" si="2"/>
        <v>0.4493788714034073</v>
      </c>
      <c r="AO35">
        <f>IF(wshed_char_unis_excluded!DS35=1,AN35,0)</f>
        <v>0.4493788714034073</v>
      </c>
      <c r="AP35">
        <f>IF(wshed_char_unis_excluded!DS35=1,0.831*(AH35/10000)/1000,0)</f>
        <v>0.39836548618463097</v>
      </c>
      <c r="AQ35">
        <f t="shared" si="21"/>
        <v>0.338338219369483</v>
      </c>
      <c r="AR35" s="56">
        <f t="shared" si="22"/>
        <v>0.16219286312149991</v>
      </c>
      <c r="AS35">
        <f>IF(wshed_char_unis_excluded!DS35=1,AR35,0)</f>
        <v>0.16219286312149991</v>
      </c>
      <c r="AT35">
        <f>IF(wshed_char_unis_excluded!DS35=1,1.3384*(AH35/10000)/1000,0)</f>
        <v>0.6416033293736584</v>
      </c>
      <c r="AU35">
        <f t="shared" si="23"/>
        <v>1.5345275368822358</v>
      </c>
      <c r="AV35" s="56">
        <f t="shared" si="24"/>
        <v>0.7356231146736416</v>
      </c>
      <c r="AW35">
        <f>IF(wshed_char_unis_excluded!DS35=1,AV35,0)</f>
        <v>0.7356231146736416</v>
      </c>
      <c r="AX35">
        <f>IF(wshed_char_unis_excluded!DS35=1,0.278*(AH35/10000)/1000,0)</f>
        <v>0.133267876244678</v>
      </c>
    </row>
    <row r="36" spans="1:50" ht="12.75">
      <c r="A36" s="81" t="s">
        <v>672</v>
      </c>
      <c r="B36" s="81"/>
      <c r="C36" s="81"/>
      <c r="D36" s="81"/>
      <c r="E36">
        <v>101.35596002303411</v>
      </c>
      <c r="F36">
        <v>1.31155389297944</v>
      </c>
      <c r="G36" s="6">
        <v>11.51</v>
      </c>
      <c r="H36">
        <v>152.72180133828175</v>
      </c>
      <c r="I36">
        <f t="shared" si="3"/>
        <v>75.25238</v>
      </c>
      <c r="J36">
        <f t="shared" si="4"/>
        <v>53.785079</v>
      </c>
      <c r="K36">
        <f t="shared" si="5"/>
        <v>96.719681</v>
      </c>
      <c r="L36">
        <f t="shared" si="6"/>
        <v>194.1099761609571</v>
      </c>
      <c r="M36">
        <f t="shared" si="7"/>
        <v>134.34994111507402</v>
      </c>
      <c r="N36">
        <f t="shared" si="8"/>
        <v>253.87001120684022</v>
      </c>
      <c r="O36">
        <f t="shared" si="0"/>
        <v>6.8210615336459774</v>
      </c>
      <c r="P36">
        <f t="shared" si="9"/>
        <v>4.875212364725343</v>
      </c>
      <c r="Q36">
        <f t="shared" si="10"/>
        <v>8.76691070256661</v>
      </c>
      <c r="R36">
        <f t="shared" si="11"/>
        <v>17.59460752853853</v>
      </c>
      <c r="S36">
        <f t="shared" si="12"/>
        <v>12.17781039466969</v>
      </c>
      <c r="T36">
        <f t="shared" si="13"/>
        <v>23.01140466240737</v>
      </c>
      <c r="U36">
        <f t="shared" si="14"/>
        <v>-1.9949047825895672</v>
      </c>
      <c r="V36" s="6">
        <f t="shared" si="26"/>
        <v>7.563994466505586</v>
      </c>
      <c r="W36" s="6">
        <f t="shared" si="15"/>
        <v>5.235290999815041</v>
      </c>
      <c r="X36" s="6">
        <f t="shared" si="16"/>
        <v>9.89269793319613</v>
      </c>
      <c r="Y36" s="6">
        <f t="shared" si="17"/>
        <v>1.4742651129197033</v>
      </c>
      <c r="Z36" s="6">
        <f t="shared" si="18"/>
        <v>1.0203876947804653</v>
      </c>
      <c r="AA36" s="6">
        <f t="shared" si="19"/>
        <v>1.9281425310589417</v>
      </c>
      <c r="AB36">
        <f>IF(wshed_char_unis_excluded!DU36=1,Y36)</f>
        <v>1.4742651129197033</v>
      </c>
      <c r="AC36">
        <f>IF(wshed_char_unis_excluded!DU36=1,Z36)</f>
        <v>1.0203876947804653</v>
      </c>
      <c r="AD36">
        <f>IF(wshed_char_unis_excluded!DU36=1,AA36)</f>
        <v>1.9281425310589417</v>
      </c>
      <c r="AE36" t="b">
        <f>IF(wshed_char_unis_excluded!DV36=1,Y36)</f>
        <v>0</v>
      </c>
      <c r="AF36" t="b">
        <f>IF(wshed_char_unis_excluded!DV36=1,Z36)</f>
        <v>0</v>
      </c>
      <c r="AG36" t="b">
        <f>IF(wshed_char_unis_excluded!DV36=1,AA36)</f>
        <v>0</v>
      </c>
      <c r="AH36" s="8">
        <v>119344935.82157245</v>
      </c>
      <c r="AI36" s="8"/>
      <c r="AJ36" s="8"/>
      <c r="AK36" s="8"/>
      <c r="AL36" s="8"/>
      <c r="AM36" s="7">
        <f t="shared" si="20"/>
        <v>1.126493638680041</v>
      </c>
      <c r="AN36" s="7">
        <f t="shared" si="2"/>
        <v>13.444131101167912</v>
      </c>
      <c r="AO36">
        <f>IF(wshed_char_unis_excluded!DS36=1,AN36,0)</f>
        <v>13.444131101167912</v>
      </c>
      <c r="AP36">
        <f>IF(wshed_char_unis_excluded!DS36=1,0.831*(AH36/10000)/1000,0)</f>
        <v>9.91756416677267</v>
      </c>
      <c r="AQ36">
        <f t="shared" si="21"/>
        <v>0.4065817068236264</v>
      </c>
      <c r="AR36" s="56">
        <f t="shared" si="22"/>
        <v>4.852346770709108</v>
      </c>
      <c r="AS36">
        <f>IF(wshed_char_unis_excluded!DS36=1,AR36,0)</f>
        <v>4.852346770709108</v>
      </c>
      <c r="AT36">
        <f>IF(wshed_char_unis_excluded!DS36=1,1.3384*(AH36/10000)/1000,0)</f>
        <v>15.973126210359258</v>
      </c>
      <c r="AU36">
        <f t="shared" si="23"/>
        <v>1.8440447735290924</v>
      </c>
      <c r="AV36" s="56">
        <f t="shared" si="24"/>
        <v>22.007740514893566</v>
      </c>
      <c r="AW36">
        <f>IF(wshed_char_unis_excluded!DS36=1,AV36,0)</f>
        <v>22.007740514893566</v>
      </c>
      <c r="AX36">
        <f>IF(wshed_char_unis_excluded!DS36=1,0.278*(AH36/10000)/1000,0)</f>
        <v>3.3177892158397144</v>
      </c>
    </row>
    <row r="37" spans="1:50" ht="12.75">
      <c r="A37" s="81" t="s">
        <v>673</v>
      </c>
      <c r="B37" s="81"/>
      <c r="C37" s="81"/>
      <c r="D37" s="81"/>
      <c r="E37">
        <v>10.550193679538461</v>
      </c>
      <c r="F37">
        <v>0.761333363502134</v>
      </c>
      <c r="G37" s="6">
        <v>54.08</v>
      </c>
      <c r="H37">
        <v>724.3068911029175</v>
      </c>
      <c r="I37">
        <f t="shared" si="3"/>
        <v>353.57504</v>
      </c>
      <c r="J37">
        <f t="shared" si="4"/>
        <v>252.710432</v>
      </c>
      <c r="K37">
        <f t="shared" si="5"/>
        <v>454.439648</v>
      </c>
      <c r="L37">
        <f t="shared" si="6"/>
        <v>112.67733779831583</v>
      </c>
      <c r="M37">
        <f t="shared" si="7"/>
        <v>77.98771602369554</v>
      </c>
      <c r="N37">
        <f t="shared" si="8"/>
        <v>147.3669595729361</v>
      </c>
      <c r="O37">
        <f t="shared" si="0"/>
        <v>3.335987906462376</v>
      </c>
      <c r="P37">
        <f t="shared" si="9"/>
        <v>2.384328217820135</v>
      </c>
      <c r="Q37">
        <f t="shared" si="10"/>
        <v>4.287647595104618</v>
      </c>
      <c r="R37">
        <f t="shared" si="11"/>
        <v>1.0631130416546306</v>
      </c>
      <c r="S37">
        <f t="shared" si="12"/>
        <v>0.7358157337906841</v>
      </c>
      <c r="T37">
        <f t="shared" si="13"/>
        <v>1.3904103495185771</v>
      </c>
      <c r="U37">
        <f t="shared" si="14"/>
        <v>-0.20765065837050378</v>
      </c>
      <c r="V37" s="6">
        <f t="shared" si="26"/>
        <v>7.454112940272686</v>
      </c>
      <c r="W37" s="6">
        <f t="shared" si="15"/>
        <v>5.159238357539802</v>
      </c>
      <c r="X37" s="6">
        <f t="shared" si="16"/>
        <v>9.748987523005571</v>
      </c>
      <c r="Y37" s="6">
        <f t="shared" si="17"/>
        <v>0.3557172450977958</v>
      </c>
      <c r="Z37" s="6">
        <f t="shared" si="18"/>
        <v>0.24620368245719107</v>
      </c>
      <c r="AA37" s="6">
        <f t="shared" si="19"/>
        <v>0.4652308077384004</v>
      </c>
      <c r="AB37">
        <f>IF(wshed_char_unis_excluded!DU37=1,Y37)</f>
        <v>0.3557172450977958</v>
      </c>
      <c r="AC37">
        <f>IF(wshed_char_unis_excluded!DU37=1,Z37)</f>
        <v>0.24620368245719107</v>
      </c>
      <c r="AD37">
        <f>IF(wshed_char_unis_excluded!DU37=1,AA37)</f>
        <v>0.4652308077384004</v>
      </c>
      <c r="AE37" t="b">
        <f>IF(wshed_char_unis_excluded!DV37=1,Y37)</f>
        <v>0</v>
      </c>
      <c r="AF37" t="b">
        <f>IF(wshed_char_unis_excluded!DV37=1,Z37)</f>
        <v>0</v>
      </c>
      <c r="AG37" t="b">
        <f>IF(wshed_char_unis_excluded!DV37=1,AA37)</f>
        <v>0</v>
      </c>
      <c r="AH37" s="8">
        <v>29886463.3724</v>
      </c>
      <c r="AI37" s="8"/>
      <c r="AJ37" s="8"/>
      <c r="AK37" s="8"/>
      <c r="AL37" s="8"/>
      <c r="AM37" s="7">
        <f t="shared" si="20"/>
        <v>0.6539092259119829</v>
      </c>
      <c r="AN37" s="7">
        <f t="shared" si="2"/>
        <v>1.954303412909291</v>
      </c>
      <c r="AO37">
        <f>IF(wshed_char_unis_excluded!DS37=1,AN37,0)</f>
        <v>1.954303412909291</v>
      </c>
      <c r="AP37">
        <f>IF(wshed_char_unis_excluded!DS37=1,0.831*(AH37/10000)/1000,0)</f>
        <v>2.4835651062464397</v>
      </c>
      <c r="AQ37">
        <f t="shared" si="21"/>
        <v>0.23601334268566154</v>
      </c>
      <c r="AR37" s="56">
        <f t="shared" si="22"/>
        <v>0.7053604121572713</v>
      </c>
      <c r="AS37">
        <f>IF(wshed_char_unis_excluded!DS37=1,AR37,0)</f>
        <v>0.7053604121572713</v>
      </c>
      <c r="AT37">
        <f>IF(wshed_char_unis_excluded!DS37=1,1.3384*(AH37/10000)/1000,0)</f>
        <v>4.000004257762016</v>
      </c>
      <c r="AU37">
        <f t="shared" si="23"/>
        <v>1.0704347090840003</v>
      </c>
      <c r="AV37" s="56">
        <f t="shared" si="24"/>
        <v>3.1991507725584625</v>
      </c>
      <c r="AW37">
        <f>IF(wshed_char_unis_excluded!DS37=1,AV37,0)</f>
        <v>3.1991507725584625</v>
      </c>
      <c r="AX37">
        <f>IF(wshed_char_unis_excluded!DS37=1,0.278*(AH37/10000)/1000,0)</f>
        <v>0.83084368175272</v>
      </c>
    </row>
    <row r="38" spans="1:50" ht="12.75">
      <c r="A38" s="81"/>
      <c r="B38" s="81"/>
      <c r="C38" s="81"/>
      <c r="D38" s="81"/>
      <c r="E38">
        <v>1.940086481627829</v>
      </c>
      <c r="F38">
        <v>1.67323580216582</v>
      </c>
      <c r="G38" s="6">
        <v>6.32</v>
      </c>
      <c r="H38">
        <v>248.20699347650543</v>
      </c>
      <c r="I38">
        <f t="shared" si="3"/>
        <v>41.32016</v>
      </c>
      <c r="J38">
        <f t="shared" si="4"/>
        <v>29.532728000000002</v>
      </c>
      <c r="K38">
        <f t="shared" si="5"/>
        <v>53.107592000000004</v>
      </c>
      <c r="L38">
        <f t="shared" si="6"/>
        <v>247.63889872054136</v>
      </c>
      <c r="M38">
        <f t="shared" si="7"/>
        <v>171.39908065991727</v>
      </c>
      <c r="N38">
        <f t="shared" si="8"/>
        <v>323.87871678116545</v>
      </c>
      <c r="O38">
        <f t="shared" si="0"/>
        <v>0.07169114555132348</v>
      </c>
      <c r="P38">
        <f t="shared" si="9"/>
        <v>0.05123976048436518</v>
      </c>
      <c r="Q38">
        <f t="shared" si="10"/>
        <v>0.09214253061828181</v>
      </c>
      <c r="R38">
        <f t="shared" si="11"/>
        <v>0.429657492428485</v>
      </c>
      <c r="S38">
        <f t="shared" si="12"/>
        <v>0.29738017565646313</v>
      </c>
      <c r="T38">
        <f t="shared" si="13"/>
        <v>0.5619348092005068</v>
      </c>
      <c r="U38">
        <f t="shared" si="14"/>
        <v>-0.038185103273227966</v>
      </c>
      <c r="V38" s="6">
        <f t="shared" si="26"/>
        <v>3.9852104331433815</v>
      </c>
      <c r="W38" s="6">
        <f t="shared" si="15"/>
        <v>2.758296083556387</v>
      </c>
      <c r="X38" s="6">
        <f t="shared" si="16"/>
        <v>5.212124782730375</v>
      </c>
      <c r="Y38" s="6">
        <f t="shared" si="17"/>
        <v>1.8381110224663584</v>
      </c>
      <c r="Z38" s="6">
        <f t="shared" si="18"/>
        <v>1.2722174950274125</v>
      </c>
      <c r="AA38" s="6">
        <f t="shared" si="19"/>
        <v>2.4040045499053035</v>
      </c>
      <c r="AB38">
        <f>IF(wshed_char_unis_excluded!DU38=1,Y38)</f>
        <v>1.8381110224663584</v>
      </c>
      <c r="AC38">
        <f>IF(wshed_char_unis_excluded!DU38=1,Z38)</f>
        <v>1.2722174950274125</v>
      </c>
      <c r="AD38">
        <f>IF(wshed_char_unis_excluded!DU38=1,AA38)</f>
        <v>2.4040045499053035</v>
      </c>
      <c r="AE38" t="b">
        <f>IF(wshed_char_unis_excluded!DV38=1,Y38)</f>
        <v>0</v>
      </c>
      <c r="AF38" t="b">
        <f>IF(wshed_char_unis_excluded!DV38=1,Z38)</f>
        <v>0</v>
      </c>
      <c r="AG38" t="b">
        <f>IF(wshed_char_unis_excluded!DV38=1,AA38)</f>
        <v>0</v>
      </c>
      <c r="AH38" s="8">
        <v>2337494.78229</v>
      </c>
      <c r="AI38" s="8"/>
      <c r="AJ38" s="8"/>
      <c r="AK38" s="8"/>
      <c r="AL38" s="8"/>
      <c r="AM38" s="7">
        <f t="shared" si="20"/>
        <v>1.4371422304802228</v>
      </c>
      <c r="AN38" s="7">
        <f t="shared" si="2"/>
        <v>0.33593124651561335</v>
      </c>
      <c r="AO38">
        <f>IF(wshed_char_unis_excluded!DS38=1,AN38,0)</f>
        <v>0.33593124651561335</v>
      </c>
      <c r="AP38">
        <f>IF(wshed_char_unis_excluded!DS38=1,0.831*(AH38/10000)/1000,0)</f>
        <v>0.194245816408299</v>
      </c>
      <c r="AQ38">
        <f t="shared" si="21"/>
        <v>0.5187030986714042</v>
      </c>
      <c r="AR38" s="56">
        <f t="shared" si="22"/>
        <v>0.12124657867020623</v>
      </c>
      <c r="AS38">
        <f>IF(wshed_char_unis_excluded!DS38=1,AR38,0)</f>
        <v>0.12124657867020623</v>
      </c>
      <c r="AT38">
        <f>IF(wshed_char_unis_excluded!DS38=1,1.3384*(AH38/10000)/1000,0)</f>
        <v>0.3128503016616936</v>
      </c>
      <c r="AU38">
        <f t="shared" si="23"/>
        <v>2.352569537845143</v>
      </c>
      <c r="AV38" s="56">
        <f t="shared" si="24"/>
        <v>0.5499119019687418</v>
      </c>
      <c r="AW38">
        <f>IF(wshed_char_unis_excluded!DS38=1,AV38,0)</f>
        <v>0.5499119019687418</v>
      </c>
      <c r="AX38">
        <f>IF(wshed_char_unis_excluded!DS38=1,0.278*(AH38/10000)/1000,0)</f>
        <v>0.064982354947662</v>
      </c>
    </row>
    <row r="39" spans="1:50" ht="12.75">
      <c r="A39" s="81"/>
      <c r="B39" s="81"/>
      <c r="C39" s="81"/>
      <c r="D39" s="81"/>
      <c r="E39">
        <v>15.444135514436153</v>
      </c>
      <c r="F39">
        <v>0.127934215716589</v>
      </c>
      <c r="G39" s="6">
        <v>20.92</v>
      </c>
      <c r="H39">
        <v>390.0112537344548</v>
      </c>
      <c r="I39">
        <f t="shared" si="3"/>
        <v>136.77496000000002</v>
      </c>
      <c r="J39">
        <f t="shared" si="4"/>
        <v>97.75706800000002</v>
      </c>
      <c r="K39">
        <f t="shared" si="5"/>
        <v>175.792852</v>
      </c>
      <c r="L39">
        <f t="shared" si="6"/>
        <v>18.934263926055173</v>
      </c>
      <c r="M39">
        <f t="shared" si="7"/>
        <v>13.105030940879795</v>
      </c>
      <c r="N39">
        <f t="shared" si="8"/>
        <v>24.763496911230547</v>
      </c>
      <c r="O39">
        <f t="shared" si="0"/>
        <v>1.8890899434755886</v>
      </c>
      <c r="P39">
        <f t="shared" si="9"/>
        <v>1.3501878857245455</v>
      </c>
      <c r="Q39">
        <f t="shared" si="10"/>
        <v>2.427992001226632</v>
      </c>
      <c r="R39">
        <f t="shared" si="11"/>
        <v>0.26151371252328237</v>
      </c>
      <c r="S39">
        <f t="shared" si="12"/>
        <v>0.18100229866162965</v>
      </c>
      <c r="T39">
        <f t="shared" si="13"/>
        <v>0.34202512638493493</v>
      </c>
      <c r="U39">
        <f t="shared" si="14"/>
        <v>-0.30397403165742104</v>
      </c>
      <c r="V39" s="6">
        <f t="shared" si="26"/>
        <v>27.479193354406416</v>
      </c>
      <c r="W39" s="6">
        <f t="shared" si="15"/>
        <v>19.019259504688975</v>
      </c>
      <c r="X39" s="6">
        <f t="shared" si="16"/>
        <v>35.939127204123835</v>
      </c>
      <c r="Y39" s="6">
        <f t="shared" si="17"/>
        <v>0.09413315966315458</v>
      </c>
      <c r="Z39" s="6">
        <f t="shared" si="18"/>
        <v>0.06515267637369596</v>
      </c>
      <c r="AA39" s="6">
        <f t="shared" si="19"/>
        <v>0.12311364295261315</v>
      </c>
      <c r="AB39">
        <f>IF(wshed_char_unis_excluded!DU39=1,Y39)</f>
        <v>0.09413315966315458</v>
      </c>
      <c r="AC39">
        <f>IF(wshed_char_unis_excluded!DU39=1,Z39)</f>
        <v>0.06515267637369596</v>
      </c>
      <c r="AD39">
        <f>IF(wshed_char_unis_excluded!DU39=1,AA39)</f>
        <v>0.12311364295261315</v>
      </c>
      <c r="AE39" t="b">
        <f>IF(wshed_char_unis_excluded!DV39=1,Y39)</f>
        <v>0</v>
      </c>
      <c r="AF39" t="b">
        <f>IF(wshed_char_unis_excluded!DV39=1,Z39)</f>
        <v>0</v>
      </c>
      <c r="AG39" t="b">
        <f>IF(wshed_char_unis_excluded!DV39=1,AA39)</f>
        <v>0</v>
      </c>
      <c r="AH39" s="8">
        <v>27781253.01</v>
      </c>
      <c r="AI39" s="8"/>
      <c r="AJ39" s="8"/>
      <c r="AK39" s="8"/>
      <c r="AL39" s="8"/>
      <c r="AM39" s="7">
        <f t="shared" si="20"/>
        <v>0.1098826978789783</v>
      </c>
      <c r="AN39" s="7">
        <f t="shared" si="2"/>
        <v>0.3052679031197287</v>
      </c>
      <c r="AO39">
        <f>IF(wshed_char_unis_excluded!DS39=1,AN39,0)</f>
        <v>0.3052679031197287</v>
      </c>
      <c r="AP39">
        <f>IF(wshed_char_unis_excluded!DS39=1,0.831*(AH39/10000)/1000,0)</f>
        <v>2.308622125131</v>
      </c>
      <c r="AQ39">
        <f t="shared" si="21"/>
        <v>0.03965960687214259</v>
      </c>
      <c r="AR39" s="56">
        <f t="shared" si="22"/>
        <v>0.1101793572792128</v>
      </c>
      <c r="AS39">
        <f>IF(wshed_char_unis_excluded!DS39=1,AR39,0)</f>
        <v>0.1101793572792128</v>
      </c>
      <c r="AT39">
        <f>IF(wshed_char_unis_excluded!DS39=1,1.3384*(AH39/10000)/1000,0)</f>
        <v>3.7182429028584</v>
      </c>
      <c r="AU39">
        <f t="shared" si="23"/>
        <v>0.17987550729752413</v>
      </c>
      <c r="AV39" s="56">
        <f t="shared" si="24"/>
        <v>0.49971669785346196</v>
      </c>
      <c r="AW39">
        <f>IF(wshed_char_unis_excluded!DS39=1,AV39,0)</f>
        <v>0.49971669785346196</v>
      </c>
      <c r="AX39">
        <f>IF(wshed_char_unis_excluded!DS39=1,0.278*(AH39/10000)/1000,0)</f>
        <v>0.772318833678</v>
      </c>
    </row>
    <row r="40" spans="1:50" ht="12.75">
      <c r="A40" s="81"/>
      <c r="B40" s="81"/>
      <c r="C40" s="81"/>
      <c r="D40" s="81"/>
      <c r="E40">
        <v>1.4053099642828213</v>
      </c>
      <c r="F40">
        <v>1.04422023293942</v>
      </c>
      <c r="G40" s="6">
        <v>39.5</v>
      </c>
      <c r="H40">
        <v>429.65400828849783</v>
      </c>
      <c r="I40">
        <f t="shared" si="3"/>
        <v>258.25100000000003</v>
      </c>
      <c r="J40">
        <f t="shared" si="4"/>
        <v>184.57955</v>
      </c>
      <c r="K40">
        <f t="shared" si="5"/>
        <v>331.92245</v>
      </c>
      <c r="L40">
        <f t="shared" si="6"/>
        <v>154.54459447503416</v>
      </c>
      <c r="M40">
        <f t="shared" si="7"/>
        <v>106.96543051531253</v>
      </c>
      <c r="N40">
        <f t="shared" si="8"/>
        <v>202.12375843475576</v>
      </c>
      <c r="O40">
        <f t="shared" si="0"/>
        <v>0.3245611798371746</v>
      </c>
      <c r="P40">
        <f t="shared" si="9"/>
        <v>0.2319733767606505</v>
      </c>
      <c r="Q40">
        <f t="shared" si="10"/>
        <v>0.4171489829136986</v>
      </c>
      <c r="R40">
        <f t="shared" si="11"/>
        <v>0.1942264537998876</v>
      </c>
      <c r="S40">
        <f t="shared" si="12"/>
        <v>0.13443055914533203</v>
      </c>
      <c r="T40">
        <f t="shared" si="13"/>
        <v>0.2540223484544431</v>
      </c>
      <c r="U40">
        <f t="shared" si="14"/>
        <v>-0.02765954333747577</v>
      </c>
      <c r="V40" s="6">
        <f t="shared" si="26"/>
        <v>11.389309686038466</v>
      </c>
      <c r="W40" s="6">
        <f t="shared" si="15"/>
        <v>7.882918312203581</v>
      </c>
      <c r="X40" s="6">
        <f t="shared" si="16"/>
        <v>14.895701059873344</v>
      </c>
      <c r="Y40" s="6">
        <f t="shared" si="17"/>
        <v>1.1471143024574868</v>
      </c>
      <c r="Z40" s="6">
        <f t="shared" si="18"/>
        <v>0.7939557875151646</v>
      </c>
      <c r="AA40" s="6">
        <f t="shared" si="19"/>
        <v>1.5002728173998088</v>
      </c>
      <c r="AB40">
        <f>IF(wshed_char_unis_excluded!DU40=1,Y40)</f>
        <v>1.1471143024574868</v>
      </c>
      <c r="AC40">
        <f>IF(wshed_char_unis_excluded!DU40=1,Z40)</f>
        <v>0.7939557875151646</v>
      </c>
      <c r="AD40">
        <f>IF(wshed_char_unis_excluded!DU40=1,AA40)</f>
        <v>1.5002728173998088</v>
      </c>
      <c r="AE40" t="b">
        <f>IF(wshed_char_unis_excluded!DV40=1,Y40)</f>
        <v>0</v>
      </c>
      <c r="AF40" t="b">
        <f>IF(wshed_char_unis_excluded!DV40=1,Z40)</f>
        <v>0</v>
      </c>
      <c r="AG40" t="b">
        <f>IF(wshed_char_unis_excluded!DV40=1,AA40)</f>
        <v>0</v>
      </c>
      <c r="AH40" s="8">
        <v>1693174.37141</v>
      </c>
      <c r="AI40" s="8"/>
      <c r="AJ40" s="8"/>
      <c r="AK40" s="8"/>
      <c r="AL40" s="8"/>
      <c r="AM40" s="7">
        <f t="shared" si="20"/>
        <v>0.8968807580716678</v>
      </c>
      <c r="AN40" s="7">
        <f t="shared" si="2"/>
        <v>0.15185755137777204</v>
      </c>
      <c r="AO40">
        <f>IF(wshed_char_unis_excluded!DS40=1,AN40,0)</f>
        <v>0.15185755137777204</v>
      </c>
      <c r="AP40">
        <f>IF(wshed_char_unis_excluded!DS40=1,0.831*(AH40/10000)/1000,0)</f>
        <v>0.140702790264171</v>
      </c>
      <c r="AQ40">
        <f t="shared" si="21"/>
        <v>0.32370827221122017</v>
      </c>
      <c r="AR40" s="56">
        <f t="shared" si="22"/>
        <v>0.05480945503214499</v>
      </c>
      <c r="AS40">
        <f>IF(wshed_char_unis_excluded!DS40=1,AR40,0)</f>
        <v>0.05480945503214499</v>
      </c>
      <c r="AT40">
        <f>IF(wshed_char_unis_excluded!DS40=1,1.3384*(AH40/10000)/1000,0)</f>
        <v>0.22661445786951442</v>
      </c>
      <c r="AU40">
        <f t="shared" si="23"/>
        <v>1.4681736475128242</v>
      </c>
      <c r="AV40" s="56">
        <f t="shared" si="24"/>
        <v>0.2485873992748253</v>
      </c>
      <c r="AW40">
        <f>IF(wshed_char_unis_excluded!DS40=1,AV40,0)</f>
        <v>0.2485873992748253</v>
      </c>
      <c r="AX40">
        <f>IF(wshed_char_unis_excluded!DS40=1,0.278*(AH40/10000)/1000,0)</f>
        <v>0.047070247525198006</v>
      </c>
    </row>
    <row r="41" spans="1:50" ht="12.75">
      <c r="A41" s="81"/>
      <c r="B41" s="81"/>
      <c r="C41" s="81"/>
      <c r="D41" s="81"/>
      <c r="E41">
        <v>1.3767785709334235</v>
      </c>
      <c r="F41">
        <v>0.599412488059693</v>
      </c>
      <c r="G41" s="6">
        <v>0.22</v>
      </c>
      <c r="H41">
        <v>50.27765243988024</v>
      </c>
      <c r="I41">
        <f t="shared" si="3"/>
        <v>1.43836</v>
      </c>
      <c r="J41">
        <f t="shared" si="4"/>
        <v>1.028038</v>
      </c>
      <c r="K41">
        <f t="shared" si="5"/>
        <v>1.8486820000000002</v>
      </c>
      <c r="L41">
        <f t="shared" si="6"/>
        <v>88.71304823283457</v>
      </c>
      <c r="M41">
        <f t="shared" si="7"/>
        <v>61.4012378031363</v>
      </c>
      <c r="N41">
        <f t="shared" si="8"/>
        <v>116.02485866253285</v>
      </c>
      <c r="O41">
        <f t="shared" si="0"/>
        <v>0.0017709819332988094</v>
      </c>
      <c r="P41">
        <f t="shared" si="9"/>
        <v>0.0012657726332383</v>
      </c>
      <c r="Q41">
        <f t="shared" si="10"/>
        <v>0.0022761912333593187</v>
      </c>
      <c r="R41">
        <f t="shared" si="11"/>
        <v>0.10922801361843756</v>
      </c>
      <c r="S41">
        <f t="shared" si="12"/>
        <v>0.07560032455820397</v>
      </c>
      <c r="T41">
        <f t="shared" si="13"/>
        <v>0.1428557026786712</v>
      </c>
      <c r="U41">
        <f t="shared" si="14"/>
        <v>-0.02709798373078148</v>
      </c>
      <c r="V41" s="6">
        <f t="shared" si="26"/>
        <v>22.12853821328254</v>
      </c>
      <c r="W41" s="6">
        <f t="shared" si="15"/>
        <v>15.315893931448288</v>
      </c>
      <c r="X41" s="6">
        <f t="shared" si="16"/>
        <v>28.9411824951168</v>
      </c>
      <c r="Y41" s="6">
        <f t="shared" si="17"/>
        <v>0.6584766473920559</v>
      </c>
      <c r="Z41" s="6">
        <f t="shared" si="18"/>
        <v>0.45575348857607056</v>
      </c>
      <c r="AA41" s="6">
        <f t="shared" si="19"/>
        <v>0.8611998062080417</v>
      </c>
      <c r="AB41">
        <f>IF(wshed_char_unis_excluded!DU41=1,Y41)</f>
        <v>0.6584766473920559</v>
      </c>
      <c r="AC41">
        <f>IF(wshed_char_unis_excluded!DU41=1,Z41)</f>
        <v>0.45575348857607056</v>
      </c>
      <c r="AD41">
        <f>IF(wshed_char_unis_excluded!DU41=1,AA41)</f>
        <v>0.8611998062080417</v>
      </c>
      <c r="AE41" t="b">
        <f>IF(wshed_char_unis_excluded!DV41=1,Y41)</f>
        <v>0</v>
      </c>
      <c r="AF41" t="b">
        <f>IF(wshed_char_unis_excluded!DV41=1,Z41)</f>
        <v>0</v>
      </c>
      <c r="AG41" t="b">
        <f>IF(wshed_char_unis_excluded!DV41=1,AA41)</f>
        <v>0</v>
      </c>
      <c r="AH41" s="8">
        <v>1658798.59295</v>
      </c>
      <c r="AI41" s="8"/>
      <c r="AJ41" s="8"/>
      <c r="AK41" s="8"/>
      <c r="AL41" s="8"/>
      <c r="AM41" s="7">
        <f t="shared" si="20"/>
        <v>0.5148353859944703</v>
      </c>
      <c r="AN41" s="7">
        <f t="shared" si="2"/>
        <v>0.08540082138884975</v>
      </c>
      <c r="AO41">
        <f>IF(wshed_char_unis_excluded!DS41=1,AN41,0)</f>
        <v>0.08540082138884975</v>
      </c>
      <c r="AP41">
        <f>IF(wshed_char_unis_excluded!DS41=1,0.831*(AH41/10000)/1000,0)</f>
        <v>0.137846163074145</v>
      </c>
      <c r="AQ41">
        <f t="shared" si="21"/>
        <v>0.18581787129850486</v>
      </c>
      <c r="AR41" s="56">
        <f t="shared" si="22"/>
        <v>0.0308234423454924</v>
      </c>
      <c r="AS41">
        <f>IF(wshed_char_unis_excluded!DS41=1,AR41,0)</f>
        <v>0.0308234423454924</v>
      </c>
      <c r="AT41">
        <f>IF(wshed_char_unis_excluded!DS41=1,1.3384*(AH41/10000)/1000,0)</f>
        <v>0.222013603680428</v>
      </c>
      <c r="AU41">
        <f t="shared" si="23"/>
        <v>0.8427739582119284</v>
      </c>
      <c r="AV41" s="56">
        <f t="shared" si="24"/>
        <v>0.1397992256056849</v>
      </c>
      <c r="AW41">
        <f>IF(wshed_char_unis_excluded!DS41=1,AV41,0)</f>
        <v>0.1397992256056849</v>
      </c>
      <c r="AX41">
        <f>IF(wshed_char_unis_excluded!DS41=1,0.278*(AH41/10000)/1000,0)</f>
        <v>0.04611460088401</v>
      </c>
    </row>
    <row r="42" spans="1:50" ht="12.75">
      <c r="A42" s="81"/>
      <c r="B42" s="81"/>
      <c r="C42" s="81"/>
      <c r="D42" s="81"/>
      <c r="E42">
        <v>53.747516352659744</v>
      </c>
      <c r="F42">
        <v>1.53533640651384</v>
      </c>
      <c r="G42" s="6">
        <v>19.32</v>
      </c>
      <c r="H42">
        <v>380.43682996546187</v>
      </c>
      <c r="I42">
        <f t="shared" si="3"/>
        <v>126.31416</v>
      </c>
      <c r="J42">
        <f t="shared" si="4"/>
        <v>90.280428</v>
      </c>
      <c r="K42">
        <f t="shared" si="5"/>
        <v>162.347892</v>
      </c>
      <c r="L42">
        <f t="shared" si="6"/>
        <v>227.2297881640483</v>
      </c>
      <c r="M42">
        <f t="shared" si="7"/>
        <v>157.27325953672974</v>
      </c>
      <c r="N42">
        <f t="shared" si="8"/>
        <v>297.1863167913669</v>
      </c>
      <c r="O42">
        <f t="shared" si="0"/>
        <v>6.071456318209069</v>
      </c>
      <c r="P42">
        <f t="shared" si="9"/>
        <v>4.339447572554169</v>
      </c>
      <c r="Q42">
        <f t="shared" si="10"/>
        <v>7.803465063863969</v>
      </c>
      <c r="R42">
        <f t="shared" si="11"/>
        <v>10.922098781592812</v>
      </c>
      <c r="S42">
        <f t="shared" si="12"/>
        <v>7.559546176767612</v>
      </c>
      <c r="T42">
        <f t="shared" si="13"/>
        <v>14.284651386418012</v>
      </c>
      <c r="U42">
        <f t="shared" si="14"/>
        <v>-1.0578675136604185</v>
      </c>
      <c r="V42" s="6">
        <f t="shared" si="26"/>
        <v>5.324554437783876</v>
      </c>
      <c r="W42" s="6">
        <f t="shared" si="15"/>
        <v>3.6853004123141737</v>
      </c>
      <c r="X42" s="6">
        <f t="shared" si="16"/>
        <v>6.963808463253578</v>
      </c>
      <c r="Y42" s="6">
        <f t="shared" si="17"/>
        <v>1.7732544621383204</v>
      </c>
      <c r="Z42" s="6">
        <f t="shared" si="18"/>
        <v>1.2273281223463672</v>
      </c>
      <c r="AA42" s="6">
        <f t="shared" si="19"/>
        <v>2.3191808019302744</v>
      </c>
      <c r="AB42">
        <f>IF(wshed_char_unis_excluded!DU42=1,Y42)</f>
        <v>1.7732544621383204</v>
      </c>
      <c r="AC42">
        <f>IF(wshed_char_unis_excluded!DU42=1,Z42)</f>
        <v>1.2273281223463672</v>
      </c>
      <c r="AD42">
        <f>IF(wshed_char_unis_excluded!DU42=1,AA42)</f>
        <v>2.3191808019302744</v>
      </c>
      <c r="AE42" t="b">
        <f>IF(wshed_char_unis_excluded!DV42=1,Y42)</f>
        <v>0</v>
      </c>
      <c r="AF42" t="b">
        <f>IF(wshed_char_unis_excluded!DV42=1,Z42)</f>
        <v>0</v>
      </c>
      <c r="AG42" t="b">
        <f>IF(wshed_char_unis_excluded!DV42=1,AA42)</f>
        <v>0</v>
      </c>
      <c r="AH42" s="8">
        <v>61593522.0511</v>
      </c>
      <c r="AI42" s="8"/>
      <c r="AJ42" s="8"/>
      <c r="AK42" s="8"/>
      <c r="AL42" s="8"/>
      <c r="AM42" s="7">
        <f t="shared" si="20"/>
        <v>1.318700439554737</v>
      </c>
      <c r="AN42" s="7">
        <f t="shared" si="2"/>
        <v>8.122340460250996</v>
      </c>
      <c r="AO42">
        <f>IF(wshed_char_unis_excluded!DS42=1,AN42,0)</f>
        <v>8.122340460250996</v>
      </c>
      <c r="AP42">
        <f>IF(wshed_char_unis_excluded!DS42=1,0.831*(AH42/10000)/1000,0)</f>
        <v>5.118421682446409</v>
      </c>
      <c r="AQ42">
        <f t="shared" si="21"/>
        <v>0.4759542860192904</v>
      </c>
      <c r="AR42" s="56">
        <f t="shared" si="22"/>
        <v>2.931570081124472</v>
      </c>
      <c r="AS42">
        <f>IF(wshed_char_unis_excluded!DS42=1,AR42,0)</f>
        <v>2.931570081124472</v>
      </c>
      <c r="AT42">
        <f>IF(wshed_char_unis_excluded!DS42=1,1.3384*(AH42/10000)/1000,0)</f>
        <v>8.243676991319223</v>
      </c>
      <c r="AU42">
        <f t="shared" si="23"/>
        <v>2.1586829875584588</v>
      </c>
      <c r="AV42" s="56">
        <f t="shared" si="24"/>
        <v>13.296088819551636</v>
      </c>
      <c r="AW42">
        <f>IF(wshed_char_unis_excluded!DS42=1,AV42,0)</f>
        <v>13.296088819551636</v>
      </c>
      <c r="AX42">
        <f>IF(wshed_char_unis_excluded!DS42=1,0.278*(AH42/10000)/1000,0)</f>
        <v>1.71229991302058</v>
      </c>
    </row>
    <row r="43" spans="1:50" ht="12.75">
      <c r="A43" s="81"/>
      <c r="B43" s="81"/>
      <c r="C43" s="81"/>
      <c r="D43" s="81"/>
      <c r="E43">
        <v>0.2365513907135502</v>
      </c>
      <c r="F43">
        <v>0.710349687061834</v>
      </c>
      <c r="G43" s="6">
        <v>11.36</v>
      </c>
      <c r="H43">
        <v>10.560914510430134</v>
      </c>
      <c r="I43">
        <f t="shared" si="3"/>
        <v>74.27168</v>
      </c>
      <c r="J43">
        <f t="shared" si="4"/>
        <v>53.084144</v>
      </c>
      <c r="K43">
        <f t="shared" si="5"/>
        <v>95.459216</v>
      </c>
      <c r="L43">
        <f t="shared" si="6"/>
        <v>105.13175368515144</v>
      </c>
      <c r="M43">
        <f t="shared" si="7"/>
        <v>72.7651674389599</v>
      </c>
      <c r="N43">
        <f t="shared" si="8"/>
        <v>137.49833993134297</v>
      </c>
      <c r="O43">
        <f t="shared" si="0"/>
        <v>0.015711989826228574</v>
      </c>
      <c r="P43">
        <f t="shared" si="9"/>
        <v>0.011229819097427884</v>
      </c>
      <c r="Q43">
        <f t="shared" si="10"/>
        <v>0.02019416055502926</v>
      </c>
      <c r="R43">
        <f t="shared" si="11"/>
        <v>0.022240361929535827</v>
      </c>
      <c r="S43">
        <f t="shared" si="12"/>
        <v>0.015393290827738876</v>
      </c>
      <c r="T43">
        <f t="shared" si="13"/>
        <v>0.02908743303133279</v>
      </c>
      <c r="U43">
        <f t="shared" si="14"/>
        <v>-0.004655843628292124</v>
      </c>
      <c r="V43" s="6">
        <f t="shared" si="26"/>
        <v>18.88200798867081</v>
      </c>
      <c r="W43" s="6">
        <f t="shared" si="15"/>
        <v>13.06886287652086</v>
      </c>
      <c r="X43" s="6">
        <f t="shared" si="16"/>
        <v>24.695153100820775</v>
      </c>
      <c r="Y43" s="6">
        <f t="shared" si="17"/>
        <v>0.7803452376088927</v>
      </c>
      <c r="Z43" s="6">
        <f t="shared" si="18"/>
        <v>0.5401027747036032</v>
      </c>
      <c r="AA43" s="6">
        <f t="shared" si="19"/>
        <v>1.0205877005141828</v>
      </c>
      <c r="AB43">
        <f>IF(wshed_char_unis_excluded!DU43=1,Y43)</f>
        <v>0.7803452376088927</v>
      </c>
      <c r="AC43">
        <f>IF(wshed_char_unis_excluded!DU43=1,Z43)</f>
        <v>0.5401027747036032</v>
      </c>
      <c r="AD43">
        <f>IF(wshed_char_unis_excluded!DU43=1,AA43)</f>
        <v>1.0205877005141828</v>
      </c>
      <c r="AE43" t="b">
        <f>IF(wshed_char_unis_excluded!DV43=1,Y43)</f>
        <v>0</v>
      </c>
      <c r="AF43" t="b">
        <f>IF(wshed_char_unis_excluded!DV43=1,Z43)</f>
        <v>0</v>
      </c>
      <c r="AG43" t="b">
        <f>IF(wshed_char_unis_excluded!DV43=1,AA43)</f>
        <v>0</v>
      </c>
      <c r="AH43" s="8">
        <v>285006.697775</v>
      </c>
      <c r="AI43" s="8"/>
      <c r="AJ43" s="8"/>
      <c r="AK43" s="8"/>
      <c r="AL43" s="8"/>
      <c r="AM43" s="7">
        <f t="shared" si="20"/>
        <v>0.6101193462174093</v>
      </c>
      <c r="AN43" s="7">
        <f t="shared" si="2"/>
        <v>0.017388810011406578</v>
      </c>
      <c r="AO43">
        <f>IF(wshed_char_unis_excluded!DS43=1,AN43,0)</f>
        <v>0.017388810011406578</v>
      </c>
      <c r="AP43">
        <f>IF(wshed_char_unis_excluded!DS43=1,0.831*(AH43/10000)/1000,0)</f>
        <v>0.0236840565851025</v>
      </c>
      <c r="AQ43">
        <f t="shared" si="21"/>
        <v>0.22020840298916852</v>
      </c>
      <c r="AR43" s="56">
        <f t="shared" si="22"/>
        <v>0.006276086975824936</v>
      </c>
      <c r="AS43">
        <f>IF(wshed_char_unis_excluded!DS43=1,AR43,0)</f>
        <v>0.006276086975824936</v>
      </c>
      <c r="AT43">
        <f>IF(wshed_char_unis_excluded!DS43=1,1.3384*(AH43/10000)/1000,0)</f>
        <v>0.038145296430206005</v>
      </c>
      <c r="AU43">
        <f t="shared" si="23"/>
        <v>0.9987516600089386</v>
      </c>
      <c r="AV43" s="56">
        <f t="shared" si="24"/>
        <v>0.02846509125164471</v>
      </c>
      <c r="AW43">
        <f>IF(wshed_char_unis_excluded!DS43=1,AV43,0)</f>
        <v>0.02846509125164471</v>
      </c>
      <c r="AX43">
        <f>IF(wshed_char_unis_excluded!DS43=1,0.278*(AH43/10000)/1000,0)</f>
        <v>0.007923186198145001</v>
      </c>
    </row>
    <row r="44" spans="1:50" ht="12.75">
      <c r="A44" s="81"/>
      <c r="B44" s="81"/>
      <c r="C44" s="81"/>
      <c r="D44" s="81"/>
      <c r="E44">
        <v>16.497782395016866</v>
      </c>
      <c r="F44">
        <v>0.192375628016121</v>
      </c>
      <c r="G44" s="6">
        <v>9.99</v>
      </c>
      <c r="H44">
        <v>64.5552453997418</v>
      </c>
      <c r="I44">
        <f t="shared" si="3"/>
        <v>65.31462</v>
      </c>
      <c r="J44">
        <f t="shared" si="4"/>
        <v>46.68227100000001</v>
      </c>
      <c r="K44">
        <f t="shared" si="5"/>
        <v>83.94696900000001</v>
      </c>
      <c r="L44">
        <f t="shared" si="6"/>
        <v>28.471592946385908</v>
      </c>
      <c r="M44">
        <f t="shared" si="7"/>
        <v>19.706132118770963</v>
      </c>
      <c r="N44">
        <f t="shared" si="8"/>
        <v>37.23705377400085</v>
      </c>
      <c r="O44">
        <f t="shared" si="0"/>
        <v>0.963647971191189</v>
      </c>
      <c r="P44">
        <f t="shared" si="9"/>
        <v>0.6887474158120692</v>
      </c>
      <c r="Q44">
        <f t="shared" si="10"/>
        <v>1.2385485265703093</v>
      </c>
      <c r="R44">
        <f t="shared" si="11"/>
        <v>0.4200681681890846</v>
      </c>
      <c r="S44">
        <f t="shared" si="12"/>
        <v>0.2907430868659906</v>
      </c>
      <c r="T44">
        <f t="shared" si="13"/>
        <v>0.5493932495121786</v>
      </c>
      <c r="U44">
        <f t="shared" si="14"/>
        <v>-0.3247120839708061</v>
      </c>
      <c r="V44" s="6">
        <f t="shared" si="26"/>
        <v>37.91981875364099</v>
      </c>
      <c r="W44" s="6">
        <f t="shared" si="15"/>
        <v>26.24556201285366</v>
      </c>
      <c r="X44" s="6">
        <f t="shared" si="16"/>
        <v>49.59407549442832</v>
      </c>
      <c r="Y44" s="6">
        <f t="shared" si="17"/>
        <v>0.2113316974526908</v>
      </c>
      <c r="Z44" s="6">
        <f t="shared" si="18"/>
        <v>0.14626966459969323</v>
      </c>
      <c r="AA44" s="6">
        <f t="shared" si="19"/>
        <v>0.27639373030568837</v>
      </c>
      <c r="AB44">
        <f>IF(wshed_char_unis_excluded!DU44=1,Y44)</f>
        <v>0.2113316974526908</v>
      </c>
      <c r="AC44">
        <f>IF(wshed_char_unis_excluded!DU44=1,Z44)</f>
        <v>0.14626966459969323</v>
      </c>
      <c r="AD44">
        <f>IF(wshed_char_unis_excluded!DU44=1,AA44)</f>
        <v>0.27639373030568837</v>
      </c>
      <c r="AE44" t="b">
        <f>IF(wshed_char_unis_excluded!DV44=1,Y44)</f>
        <v>0</v>
      </c>
      <c r="AF44" t="b">
        <f>IF(wshed_char_unis_excluded!DV44=1,Z44)</f>
        <v>0</v>
      </c>
      <c r="AG44" t="b">
        <f>IF(wshed_char_unis_excluded!DV44=1,AA44)</f>
        <v>0</v>
      </c>
      <c r="AH44" s="8">
        <v>19877196.5234</v>
      </c>
      <c r="AI44" s="8"/>
      <c r="AJ44" s="8"/>
      <c r="AK44" s="8"/>
      <c r="AL44" s="8"/>
      <c r="AM44" s="7">
        <f t="shared" si="20"/>
        <v>0.16523142690304632</v>
      </c>
      <c r="AN44" s="7">
        <f t="shared" si="2"/>
        <v>0.3284337544393654</v>
      </c>
      <c r="AO44">
        <f>IF(wshed_char_unis_excluded!DS44=1,AN44,0)</f>
        <v>0.3284337544393654</v>
      </c>
      <c r="AP44">
        <f>IF(wshed_char_unis_excluded!DS44=1,0.831*(AH44/10000)/1000,0)</f>
        <v>1.65179503109454</v>
      </c>
      <c r="AQ44">
        <f t="shared" si="21"/>
        <v>0.05963644468499751</v>
      </c>
      <c r="AR44" s="56">
        <f t="shared" si="22"/>
        <v>0.11854053309605689</v>
      </c>
      <c r="AS44">
        <f>IF(wshed_char_unis_excluded!DS44=1,AR44,0)</f>
        <v>0.11854053309605689</v>
      </c>
      <c r="AT44">
        <f>IF(wshed_char_unis_excluded!DS44=1,1.3384*(AH44/10000)/1000,0)</f>
        <v>2.660363982691856</v>
      </c>
      <c r="AU44">
        <f t="shared" si="23"/>
        <v>0.2704801329906661</v>
      </c>
      <c r="AV44" s="56">
        <f t="shared" si="24"/>
        <v>0.5376386759130838</v>
      </c>
      <c r="AW44">
        <f>IF(wshed_char_unis_excluded!DS44=1,AV44,0)</f>
        <v>0.5376386759130838</v>
      </c>
      <c r="AX44">
        <f>IF(wshed_char_unis_excluded!DS44=1,0.278*(AH44/10000)/1000,0)</f>
        <v>0.5525860633505201</v>
      </c>
    </row>
    <row r="45" spans="15:42" ht="12.75">
      <c r="O45" s="130" t="s">
        <v>680</v>
      </c>
      <c r="P45" s="130" t="s">
        <v>680</v>
      </c>
      <c r="Q45" s="130" t="s">
        <v>680</v>
      </c>
      <c r="R45" s="130" t="s">
        <v>637</v>
      </c>
      <c r="S45" s="130" t="s">
        <v>637</v>
      </c>
      <c r="T45" s="130" t="s">
        <v>637</v>
      </c>
      <c r="U45" s="130" t="s">
        <v>637</v>
      </c>
      <c r="V45" s="130"/>
      <c r="W45" s="130"/>
      <c r="X45" s="130"/>
      <c r="AH45"/>
      <c r="AI45"/>
      <c r="AJ45"/>
      <c r="AK45"/>
      <c r="AL45"/>
      <c r="AO45" t="s">
        <v>46</v>
      </c>
      <c r="AP45" t="s">
        <v>48</v>
      </c>
    </row>
    <row r="46" spans="15:54" ht="12.75">
      <c r="O46" s="140">
        <f aca="true" t="shared" si="27" ref="O46:U46">SUM(O2:O44)</f>
        <v>296.63858771212904</v>
      </c>
      <c r="P46" s="140">
        <f t="shared" si="27"/>
        <v>212.01628273478252</v>
      </c>
      <c r="Q46" s="140">
        <f t="shared" si="27"/>
        <v>381.26089268947567</v>
      </c>
      <c r="R46" s="140">
        <f t="shared" si="27"/>
        <v>460.26797943010473</v>
      </c>
      <c r="S46" s="140">
        <f t="shared" si="27"/>
        <v>318.5667071655971</v>
      </c>
      <c r="T46" s="140">
        <f t="shared" si="27"/>
        <v>601.9692516946121</v>
      </c>
      <c r="U46" s="140">
        <f t="shared" si="27"/>
        <v>-121.37752607942434</v>
      </c>
      <c r="V46" s="140"/>
      <c r="W46" s="140"/>
      <c r="X46" s="140"/>
      <c r="AB46">
        <f aca="true" t="shared" si="28" ref="AB46:AG46">AVERAGE(AB2:AB44)</f>
        <v>1.1309272636551382</v>
      </c>
      <c r="AC46">
        <f t="shared" si="28"/>
        <v>0.7827522020378288</v>
      </c>
      <c r="AD46">
        <f t="shared" si="28"/>
        <v>1.4791023252724476</v>
      </c>
      <c r="AE46">
        <f t="shared" si="28"/>
        <v>0.6469467494883534</v>
      </c>
      <c r="AF46">
        <f t="shared" si="28"/>
        <v>0.4477732645038116</v>
      </c>
      <c r="AG46">
        <f t="shared" si="28"/>
        <v>0.8461202344728951</v>
      </c>
      <c r="AH46"/>
      <c r="AI46"/>
      <c r="AJ46"/>
      <c r="AK46"/>
      <c r="AL46"/>
      <c r="AO46" s="231">
        <f>SUM(AO2:AO44)</f>
        <v>125.90511116606048</v>
      </c>
      <c r="AP46" s="231">
        <f>SUM(AP2:AP44)</f>
        <v>199.8077512962685</v>
      </c>
      <c r="AQ46" s="231"/>
      <c r="AR46" s="231"/>
      <c r="AS46" s="231">
        <f>SUM(AS2:AS44)</f>
        <v>45.44252469609818</v>
      </c>
      <c r="AT46" s="231">
        <f>SUM(AT2:AT44)</f>
        <v>321.80829643192027</v>
      </c>
      <c r="AU46" s="66"/>
      <c r="AV46" s="66"/>
      <c r="AW46" s="231">
        <f>SUM(AW2:AW44)</f>
        <v>206.10383781520667</v>
      </c>
      <c r="AX46" s="231">
        <f>SUM(AX2:AX44)</f>
        <v>66.84302630609224</v>
      </c>
      <c r="AY46" s="66"/>
      <c r="AZ46" s="66"/>
      <c r="BA46" s="66"/>
      <c r="BB46" s="66"/>
    </row>
    <row r="47" spans="9:54" ht="12.75">
      <c r="I47" s="1">
        <f aca="true" t="shared" si="29" ref="I47:N47">AVERAGE(I2:I44)</f>
        <v>107.58592010437854</v>
      </c>
      <c r="J47" s="1">
        <f t="shared" si="29"/>
        <v>76.89480667723316</v>
      </c>
      <c r="K47" s="1">
        <f t="shared" si="29"/>
        <v>138.27703353152384</v>
      </c>
      <c r="L47" s="1">
        <f t="shared" si="29"/>
        <v>128.17303137540142</v>
      </c>
      <c r="M47" s="1">
        <f t="shared" si="29"/>
        <v>88.71279858149465</v>
      </c>
      <c r="N47" s="1">
        <f t="shared" si="29"/>
        <v>167.63326416930815</v>
      </c>
      <c r="O47" t="s">
        <v>682</v>
      </c>
      <c r="P47" t="s">
        <v>682</v>
      </c>
      <c r="Q47" t="s">
        <v>682</v>
      </c>
      <c r="R47" t="s">
        <v>641</v>
      </c>
      <c r="U47" t="s">
        <v>685</v>
      </c>
      <c r="AB47">
        <f aca="true" t="shared" si="30" ref="AB47:AG47">MIN(AB2:AB44)</f>
        <v>0</v>
      </c>
      <c r="AC47">
        <f t="shared" si="30"/>
        <v>0</v>
      </c>
      <c r="AD47">
        <f t="shared" si="30"/>
        <v>0</v>
      </c>
      <c r="AE47">
        <f t="shared" si="30"/>
        <v>0.12697916861915484</v>
      </c>
      <c r="AF47">
        <f t="shared" si="30"/>
        <v>0.08788648664135915</v>
      </c>
      <c r="AG47">
        <f t="shared" si="30"/>
        <v>0.16607185059695048</v>
      </c>
      <c r="AH47"/>
      <c r="AI47"/>
      <c r="AJ47"/>
      <c r="AK47"/>
      <c r="AL47"/>
      <c r="AO47" s="232">
        <f>0.8589*LOG10(45.27+1)</f>
        <v>1.4303257401204617</v>
      </c>
      <c r="AP47" s="66">
        <v>0.831</v>
      </c>
      <c r="AQ47" s="66"/>
      <c r="AR47" s="66"/>
      <c r="AS47" s="66">
        <f>0.31*LOG10(45.27+1)</f>
        <v>0.5162428448449681</v>
      </c>
      <c r="AT47" s="66">
        <v>1.3384</v>
      </c>
      <c r="AU47" s="66"/>
      <c r="AV47" s="66"/>
      <c r="AW47" s="66">
        <f>1.406*LOG10(45.27+1)</f>
        <v>2.3414110962968553</v>
      </c>
      <c r="AX47" s="66">
        <v>0.278</v>
      </c>
      <c r="AY47" s="66"/>
      <c r="AZ47" s="66"/>
      <c r="BA47" s="66"/>
      <c r="BB47" s="66"/>
    </row>
    <row r="48" spans="9:54" ht="12.75">
      <c r="I48" s="1">
        <f aca="true" t="shared" si="31" ref="I48:N48">MIN(I2:I44)</f>
        <v>1.43836</v>
      </c>
      <c r="J48" s="1">
        <f t="shared" si="31"/>
        <v>1.028038</v>
      </c>
      <c r="K48" s="1">
        <f t="shared" si="31"/>
        <v>1.8486820000000002</v>
      </c>
      <c r="L48" s="1">
        <f t="shared" si="31"/>
        <v>0</v>
      </c>
      <c r="M48" s="1">
        <f t="shared" si="31"/>
        <v>0</v>
      </c>
      <c r="N48" s="1">
        <f t="shared" si="31"/>
        <v>0</v>
      </c>
      <c r="O48" s="59">
        <f>AVERAGE(G4,G31,G36,G42)*B7</f>
        <v>96.9860395</v>
      </c>
      <c r="P48" s="59">
        <f>AVERAGE(G4,G31,G36,G42)*C7</f>
        <v>174.4063405</v>
      </c>
      <c r="Q48" s="59">
        <f>AVERAGE(G4,G31,G36,G42)*C3</f>
        <v>135.69619</v>
      </c>
      <c r="R48" s="59">
        <f>C4*LOG10(45.27+1)</f>
        <v>246.46432592598478</v>
      </c>
      <c r="S48" s="59">
        <f>B8*LOG10(45.27+1)</f>
        <v>170.5861199409216</v>
      </c>
      <c r="T48" s="59">
        <f>C8*LOG10(45.27+1)</f>
        <v>322.34253191104796</v>
      </c>
      <c r="U48" s="59">
        <v>-22</v>
      </c>
      <c r="V48" s="59"/>
      <c r="W48" s="59"/>
      <c r="X48" s="59"/>
      <c r="AB48">
        <f aca="true" t="shared" si="32" ref="AB48:AG48">MAX(AB2:AB44)</f>
        <v>2.4755547347303737</v>
      </c>
      <c r="AC48">
        <f t="shared" si="32"/>
        <v>1.7134133928406763</v>
      </c>
      <c r="AD48">
        <f t="shared" si="32"/>
        <v>3.2376960766200713</v>
      </c>
      <c r="AE48">
        <f t="shared" si="32"/>
        <v>1.0262258261715484</v>
      </c>
      <c r="AF48">
        <f t="shared" si="32"/>
        <v>0.7102848706889249</v>
      </c>
      <c r="AG48">
        <f t="shared" si="32"/>
        <v>1.3421667816541722</v>
      </c>
      <c r="AH48"/>
      <c r="AI48"/>
      <c r="AJ48"/>
      <c r="AK48"/>
      <c r="AL48"/>
      <c r="AO48" s="66"/>
      <c r="AP48" s="66"/>
      <c r="AQ48" s="66"/>
      <c r="AR48" s="66"/>
      <c r="AS48" s="66"/>
      <c r="AT48" s="66"/>
      <c r="AU48" s="66"/>
      <c r="AV48" s="66"/>
      <c r="AW48" s="66"/>
      <c r="AX48" s="66"/>
      <c r="AY48" s="66"/>
      <c r="AZ48" s="66"/>
      <c r="BA48" s="66"/>
      <c r="BB48" s="66"/>
    </row>
    <row r="49" spans="9:54" ht="12.75">
      <c r="I49" s="1">
        <f aca="true" t="shared" si="33" ref="I49:N49">MAX(I2:I44)</f>
        <v>392.14924</v>
      </c>
      <c r="J49" s="1">
        <f t="shared" si="33"/>
        <v>280.280542</v>
      </c>
      <c r="K49" s="1">
        <f t="shared" si="33"/>
        <v>504.017938</v>
      </c>
      <c r="L49" s="1">
        <f t="shared" si="33"/>
        <v>284.8675067271897</v>
      </c>
      <c r="M49" s="1">
        <f t="shared" si="33"/>
        <v>197.16623283009721</v>
      </c>
      <c r="N49" s="1">
        <f t="shared" si="33"/>
        <v>372.5687806242822</v>
      </c>
      <c r="O49" t="s">
        <v>638</v>
      </c>
      <c r="P49" t="s">
        <v>638</v>
      </c>
      <c r="Q49" t="s">
        <v>638</v>
      </c>
      <c r="R49" t="s">
        <v>638</v>
      </c>
      <c r="U49" t="s">
        <v>638</v>
      </c>
      <c r="AH49"/>
      <c r="AI49"/>
      <c r="AJ49"/>
      <c r="AK49"/>
      <c r="AL49"/>
      <c r="AO49" s="233"/>
      <c r="AP49" s="66"/>
      <c r="AQ49" s="66"/>
      <c r="AR49" s="66"/>
      <c r="AS49" s="66"/>
      <c r="AT49" s="66"/>
      <c r="AU49" s="66"/>
      <c r="AV49" s="66"/>
      <c r="AW49" s="66"/>
      <c r="AX49" s="66"/>
      <c r="AY49" s="66"/>
      <c r="AZ49" s="66"/>
      <c r="BA49" s="66"/>
      <c r="BB49" s="66"/>
    </row>
    <row r="50" spans="9:54" ht="12.75">
      <c r="I50" s="1">
        <f aca="true" t="shared" si="34" ref="I50:N50">STDEV(I2:I44)</f>
        <v>90.09904794720812</v>
      </c>
      <c r="J50" s="1">
        <f t="shared" si="34"/>
        <v>64.3964272181874</v>
      </c>
      <c r="K50" s="1">
        <f t="shared" si="34"/>
        <v>115.80166867622907</v>
      </c>
      <c r="L50" s="1">
        <f t="shared" si="34"/>
        <v>83.48397683598529</v>
      </c>
      <c r="M50" s="1">
        <f t="shared" si="34"/>
        <v>57.78202436471578</v>
      </c>
      <c r="N50" s="1">
        <f t="shared" si="34"/>
        <v>109.18592930725495</v>
      </c>
      <c r="O50" s="59">
        <f>Q_monthly_by_region!AC5</f>
        <v>494.57145570660026</v>
      </c>
      <c r="P50" s="59">
        <f>AVERAGE(Q_monthly_by_region!B5:Y5)</f>
        <v>494.57145570660026</v>
      </c>
      <c r="Q50" s="59">
        <f>Q_monthly_by_region!AC5</f>
        <v>494.57145570660026</v>
      </c>
      <c r="R50" s="59">
        <f>AVERAGE(Q_monthly_by_region!B5:Y5)</f>
        <v>494.57145570660026</v>
      </c>
      <c r="S50" s="59">
        <f>AVERAGE(Q_monthly_by_region!B5:Y5)</f>
        <v>494.57145570660026</v>
      </c>
      <c r="T50" s="59">
        <f>AVERAGE(Q_monthly_by_region!B5:Y5)</f>
        <v>494.57145570660026</v>
      </c>
      <c r="U50" s="59">
        <f>AVERAGE(Q_monthly_by_region!B5:Y5)</f>
        <v>494.57145570660026</v>
      </c>
      <c r="V50" s="59"/>
      <c r="W50" s="59"/>
      <c r="X50" s="59"/>
      <c r="AH50"/>
      <c r="AI50"/>
      <c r="AJ50"/>
      <c r="AK50"/>
      <c r="AL50"/>
      <c r="AO50" s="78" t="s">
        <v>45</v>
      </c>
      <c r="AP50" s="78" t="s">
        <v>45</v>
      </c>
      <c r="AQ50" s="78"/>
      <c r="AR50" s="78"/>
      <c r="AS50" s="78" t="s">
        <v>45</v>
      </c>
      <c r="AT50" s="78" t="s">
        <v>45</v>
      </c>
      <c r="AU50" s="66"/>
      <c r="AV50" s="66"/>
      <c r="AW50" s="78" t="s">
        <v>45</v>
      </c>
      <c r="AX50" s="78" t="s">
        <v>45</v>
      </c>
      <c r="AY50" s="66"/>
      <c r="AZ50" s="66"/>
      <c r="BA50" s="66"/>
      <c r="BB50" s="66"/>
    </row>
    <row r="51" spans="1:54" ht="12.75">
      <c r="A51" s="276" t="s">
        <v>706</v>
      </c>
      <c r="B51" s="276"/>
      <c r="C51" s="276"/>
      <c r="D51" s="276"/>
      <c r="E51" s="276"/>
      <c r="F51" s="144" t="s">
        <v>688</v>
      </c>
      <c r="G51" s="22"/>
      <c r="H51" s="22"/>
      <c r="I51" s="22"/>
      <c r="J51" s="22"/>
      <c r="O51" s="130" t="s">
        <v>642</v>
      </c>
      <c r="P51" s="130" t="s">
        <v>642</v>
      </c>
      <c r="Q51" s="130" t="s">
        <v>642</v>
      </c>
      <c r="R51" s="130" t="s">
        <v>642</v>
      </c>
      <c r="S51" s="130" t="s">
        <v>642</v>
      </c>
      <c r="T51" s="130" t="s">
        <v>642</v>
      </c>
      <c r="U51" s="130" t="s">
        <v>687</v>
      </c>
      <c r="V51" s="130"/>
      <c r="W51" s="130"/>
      <c r="X51" s="130"/>
      <c r="AH51"/>
      <c r="AI51"/>
      <c r="AJ51"/>
      <c r="AK51"/>
      <c r="AL51"/>
      <c r="AO51" s="231">
        <f>((Q_monthly_by_region!AA5/10000)*AO47)/1000</f>
        <v>88.33023713117831</v>
      </c>
      <c r="AP51" s="78">
        <f>((Q_monthly_by_region!AA5/10000)*AP47)/1000</f>
        <v>51.31867867373151</v>
      </c>
      <c r="AQ51" s="78"/>
      <c r="AR51" s="78"/>
      <c r="AS51" s="231">
        <f>((Q_monthly_by_region!AA5/10000)*AS47)/1000</f>
        <v>31.880746897968653</v>
      </c>
      <c r="AT51" s="78">
        <f>((Q_monthly_by_region!AA5/10000)*AT47)/1000</f>
        <v>82.65333277607974</v>
      </c>
      <c r="AU51" s="66"/>
      <c r="AV51" s="66"/>
      <c r="AW51" s="231">
        <f>((Q_monthly_by_region!AA5/10000)*AW47)/1000</f>
        <v>144.5946133501417</v>
      </c>
      <c r="AX51" s="78">
        <f>((Q_monthly_by_region!AA5/10000)*AX47)/1000</f>
        <v>17.167981553907776</v>
      </c>
      <c r="AY51" s="66"/>
      <c r="AZ51" s="66"/>
      <c r="BA51" s="66"/>
      <c r="BB51" s="66"/>
    </row>
    <row r="52" spans="1:49" ht="12.75">
      <c r="A52" s="276"/>
      <c r="B52" s="276"/>
      <c r="C52" s="276"/>
      <c r="D52" s="276"/>
      <c r="E52" s="276"/>
      <c r="F52" s="149">
        <f>O54+R54+U54</f>
        <v>777.7047515179646</v>
      </c>
      <c r="G52" s="149">
        <f>P54+S54+U54</f>
        <v>552.0632343324038</v>
      </c>
      <c r="H52" s="149">
        <f>Q54+T54+U54</f>
        <v>1054.7101221109097</v>
      </c>
      <c r="I52" s="22"/>
      <c r="J52" s="22"/>
      <c r="O52" s="140">
        <f aca="true" t="shared" si="35" ref="O52:U52">O50/3.28^3*1000/1000000000000*O48*86400*365.25</f>
        <v>42.896386357722854</v>
      </c>
      <c r="P52" s="140">
        <f t="shared" si="35"/>
        <v>77.13895529597914</v>
      </c>
      <c r="Q52" s="140">
        <f t="shared" si="35"/>
        <v>60.01767082685099</v>
      </c>
      <c r="R52" s="140">
        <f>R50/3.28^3*1000/1000000000000*R48*86400*365.25</f>
        <v>109.00980185211885</v>
      </c>
      <c r="S52" s="140">
        <f t="shared" si="35"/>
        <v>75.44929297015601</v>
      </c>
      <c r="T52" s="140">
        <f t="shared" si="35"/>
        <v>142.5703107340817</v>
      </c>
      <c r="U52" s="140">
        <f t="shared" si="35"/>
        <v>-9.730477754686568</v>
      </c>
      <c r="V52" s="140"/>
      <c r="W52" s="140"/>
      <c r="X52" s="140"/>
      <c r="AH52"/>
      <c r="AI52"/>
      <c r="AJ52"/>
      <c r="AK52"/>
      <c r="AL52"/>
      <c r="AS52" s="130" t="s">
        <v>66</v>
      </c>
      <c r="AW52" s="130" t="s">
        <v>67</v>
      </c>
    </row>
    <row r="53" spans="1:49" ht="17.25">
      <c r="A53" s="276"/>
      <c r="B53" s="276"/>
      <c r="C53" s="276"/>
      <c r="D53" s="276"/>
      <c r="E53" s="276"/>
      <c r="F53" s="144" t="s">
        <v>646</v>
      </c>
      <c r="G53" s="144"/>
      <c r="H53" s="144"/>
      <c r="I53" s="22"/>
      <c r="J53" s="22"/>
      <c r="O53" s="135" t="s">
        <v>681</v>
      </c>
      <c r="P53" s="135" t="s">
        <v>681</v>
      </c>
      <c r="Q53" s="135" t="s">
        <v>681</v>
      </c>
      <c r="R53" s="135" t="s">
        <v>639</v>
      </c>
      <c r="S53" s="135" t="s">
        <v>639</v>
      </c>
      <c r="T53" s="135" t="s">
        <v>639</v>
      </c>
      <c r="U53" s="135" t="s">
        <v>686</v>
      </c>
      <c r="V53" s="135"/>
      <c r="W53" s="135"/>
      <c r="X53" s="135"/>
      <c r="AH53"/>
      <c r="AI53"/>
      <c r="AJ53"/>
      <c r="AK53"/>
      <c r="AL53"/>
      <c r="AO53" s="130" t="s">
        <v>47</v>
      </c>
      <c r="AS53" s="130" t="s">
        <v>47</v>
      </c>
      <c r="AW53" s="130" t="s">
        <v>47</v>
      </c>
    </row>
    <row r="54" spans="1:50" ht="17.25">
      <c r="A54" s="276"/>
      <c r="B54" s="276"/>
      <c r="C54" s="276"/>
      <c r="D54" s="276"/>
      <c r="E54" s="276"/>
      <c r="F54" s="150">
        <f>F52-SUM(Loads!$AD$63:$AD$65,Loads!$AD$67)</f>
        <v>430.95985286900634</v>
      </c>
      <c r="G54" s="150">
        <f>G52-SUM(Loads!$AD$63:$AD$65,Loads!$AD$67)</f>
        <v>205.31833568344553</v>
      </c>
      <c r="H54" s="150">
        <f>H52-SUM(Loads!$AD$63:$AD$65,Loads!$AD$67)</f>
        <v>707.9652234619514</v>
      </c>
      <c r="I54" s="22"/>
      <c r="J54" s="22"/>
      <c r="O54" s="141">
        <f aca="true" t="shared" si="36" ref="O54:U54">O46+O52</f>
        <v>339.5349740698519</v>
      </c>
      <c r="P54" s="141">
        <f t="shared" si="36"/>
        <v>289.15523803076167</v>
      </c>
      <c r="Q54" s="141">
        <f t="shared" si="36"/>
        <v>441.27856351632664</v>
      </c>
      <c r="R54" s="141">
        <f t="shared" si="36"/>
        <v>569.2777812822236</v>
      </c>
      <c r="S54" s="141">
        <f t="shared" si="36"/>
        <v>394.01600013575313</v>
      </c>
      <c r="T54" s="141">
        <f t="shared" si="36"/>
        <v>744.5395624286938</v>
      </c>
      <c r="U54" s="141">
        <f t="shared" si="36"/>
        <v>-131.10800383411092</v>
      </c>
      <c r="V54" s="141"/>
      <c r="W54" s="141"/>
      <c r="X54" s="141"/>
      <c r="AH54"/>
      <c r="AI54"/>
      <c r="AJ54"/>
      <c r="AK54"/>
      <c r="AL54"/>
      <c r="AO54" s="140">
        <f>AO46+AO51</f>
        <v>214.23534829723877</v>
      </c>
      <c r="AP54" s="59">
        <f>AP51+AP46</f>
        <v>251.12642997</v>
      </c>
      <c r="AQ54" s="59"/>
      <c r="AR54" s="59"/>
      <c r="AS54" s="140">
        <f>AS46+AS51</f>
        <v>77.32327159406684</v>
      </c>
      <c r="AT54" s="59">
        <f>AT51+AT46</f>
        <v>404.461629208</v>
      </c>
      <c r="AW54" s="140">
        <f>AW46+AW51</f>
        <v>350.6984511653484</v>
      </c>
      <c r="AX54" s="59">
        <f>AX51+AX46</f>
        <v>84.01100786000002</v>
      </c>
    </row>
    <row r="55" spans="1:38" ht="21">
      <c r="A55" s="276"/>
      <c r="B55" s="276"/>
      <c r="C55" s="276"/>
      <c r="D55" s="276"/>
      <c r="E55" s="276"/>
      <c r="F55" s="144" t="s">
        <v>647</v>
      </c>
      <c r="G55" s="144" t="s">
        <v>647</v>
      </c>
      <c r="H55" s="144" t="s">
        <v>647</v>
      </c>
      <c r="I55" s="22"/>
      <c r="J55" s="22"/>
      <c r="O55" s="136"/>
      <c r="P55" s="136"/>
      <c r="Q55" s="136"/>
      <c r="R55" s="136" t="s">
        <v>705</v>
      </c>
      <c r="S55" s="136"/>
      <c r="T55" s="136"/>
      <c r="U55" s="136"/>
      <c r="V55" s="136"/>
      <c r="W55" s="136"/>
      <c r="X55" s="136"/>
      <c r="AH55"/>
      <c r="AI55"/>
      <c r="AJ55"/>
      <c r="AK55"/>
      <c r="AL55"/>
    </row>
    <row r="56" spans="1:49" ht="21">
      <c r="A56" s="276"/>
      <c r="B56" s="276"/>
      <c r="C56" s="276"/>
      <c r="D56" s="276"/>
      <c r="E56" s="276"/>
      <c r="F56" s="229">
        <f>F54/$F$59</f>
        <v>0.8682486592858932</v>
      </c>
      <c r="G56" s="229">
        <f>G54/$F$59</f>
        <v>0.41365191791577005</v>
      </c>
      <c r="H56" s="229">
        <f>H54/$F$59</f>
        <v>1.4263274223799147</v>
      </c>
      <c r="I56" s="152"/>
      <c r="J56" s="152"/>
      <c r="K56" s="147"/>
      <c r="O56" s="146"/>
      <c r="P56" s="146"/>
      <c r="Q56" s="146"/>
      <c r="R56" s="146">
        <f>AVERAGE(V4,V31,V36,V42)</f>
        <v>4.573954934510844</v>
      </c>
      <c r="S56" s="146">
        <f>AVERAGE(W4,W31,W36,W42)</f>
        <v>3.165785645169408</v>
      </c>
      <c r="T56" s="146">
        <f>AVERAGE(X4,X31,X36,X42)</f>
        <v>5.9821242238522805</v>
      </c>
      <c r="U56" s="146"/>
      <c r="V56" s="136"/>
      <c r="W56" s="136"/>
      <c r="X56" s="136"/>
      <c r="AH56"/>
      <c r="AI56"/>
      <c r="AJ56"/>
      <c r="AK56"/>
      <c r="AL56"/>
      <c r="AO56" t="s">
        <v>49</v>
      </c>
      <c r="AS56" t="s">
        <v>49</v>
      </c>
      <c r="AW56" t="s">
        <v>49</v>
      </c>
    </row>
    <row r="57" spans="1:49" ht="12.75">
      <c r="A57" s="276"/>
      <c r="B57" s="276"/>
      <c r="C57" s="276"/>
      <c r="D57" s="276"/>
      <c r="E57" s="276"/>
      <c r="F57" s="230">
        <f>F54/$F$59</f>
        <v>0.8682486592858932</v>
      </c>
      <c r="G57" s="230">
        <f>G54/$F$59</f>
        <v>0.41365191791577005</v>
      </c>
      <c r="H57" s="230">
        <f>H54/$F$59</f>
        <v>1.4263274223799147</v>
      </c>
      <c r="I57" s="22"/>
      <c r="J57" s="22"/>
      <c r="AH57" s="93"/>
      <c r="AI57" s="93"/>
      <c r="AJ57" s="93"/>
      <c r="AK57" s="93"/>
      <c r="AL57" s="93"/>
      <c r="AO57" s="137">
        <f>AP54+AO54</f>
        <v>465.3617782672388</v>
      </c>
      <c r="AS57" s="137">
        <f>AT54+AS54</f>
        <v>481.78490080206683</v>
      </c>
      <c r="AW57" s="137">
        <f>AX54+AW54</f>
        <v>434.7094590253484</v>
      </c>
    </row>
    <row r="58" spans="1:38" ht="12.75">
      <c r="A58" s="276"/>
      <c r="B58" s="276"/>
      <c r="C58" s="276"/>
      <c r="D58" s="276"/>
      <c r="E58" s="276"/>
      <c r="F58" s="144" t="s">
        <v>707</v>
      </c>
      <c r="G58" s="22"/>
      <c r="H58" s="22"/>
      <c r="I58" s="22"/>
      <c r="J58" s="22"/>
      <c r="R58">
        <f>R54*($F$59/F52)</f>
        <v>363.3307658844356</v>
      </c>
      <c r="S58">
        <f>S54*($F$59/G52)</f>
        <v>354.25641666036404</v>
      </c>
      <c r="T58">
        <f>T54*($F$59/H52)</f>
        <v>350.386494914651</v>
      </c>
      <c r="AH58" s="93"/>
      <c r="AI58" s="93"/>
      <c r="AJ58" s="93"/>
      <c r="AK58" s="93"/>
      <c r="AL58" s="93"/>
    </row>
    <row r="59" spans="1:48" ht="12.75">
      <c r="A59" s="276"/>
      <c r="B59" s="276"/>
      <c r="C59" s="276"/>
      <c r="D59" s="276"/>
      <c r="E59" s="276"/>
      <c r="F59" s="144">
        <f>Loads!AP28</f>
        <v>496.3553335325125</v>
      </c>
      <c r="G59" s="22"/>
      <c r="H59" s="22"/>
      <c r="I59" s="22"/>
      <c r="J59" s="22"/>
      <c r="N59" s="1" t="s">
        <v>65</v>
      </c>
      <c r="AH59" s="93"/>
      <c r="AI59" s="93"/>
      <c r="AJ59" s="93"/>
      <c r="AK59" s="93"/>
      <c r="AL59" s="93"/>
      <c r="AO59" s="1" t="s">
        <v>60</v>
      </c>
      <c r="AT59" s="150">
        <f>AO57-$AT$64</f>
        <v>-30.9935552652737</v>
      </c>
      <c r="AU59" s="150">
        <f>AS57-$AT$64</f>
        <v>-14.570432730445646</v>
      </c>
      <c r="AV59" s="150">
        <f>AW57-$AT$64</f>
        <v>-61.64587450716408</v>
      </c>
    </row>
    <row r="60" spans="15:48" ht="12.75">
      <c r="O60" s="1" t="s">
        <v>62</v>
      </c>
      <c r="P60" s="1" t="s">
        <v>62</v>
      </c>
      <c r="Q60" s="1" t="s">
        <v>62</v>
      </c>
      <c r="AH60" s="93"/>
      <c r="AI60" s="93"/>
      <c r="AJ60" s="93"/>
      <c r="AK60" s="93"/>
      <c r="AL60" s="93"/>
      <c r="AT60" s="144" t="s">
        <v>647</v>
      </c>
      <c r="AU60" s="144" t="s">
        <v>647</v>
      </c>
      <c r="AV60" s="144" t="s">
        <v>647</v>
      </c>
    </row>
    <row r="61" spans="14:48" ht="12.75">
      <c r="N61" s="1" t="s">
        <v>692</v>
      </c>
      <c r="O61">
        <f>O54*$F$59/F52</f>
        <v>216.70176885437397</v>
      </c>
      <c r="P61">
        <f>P54*$F$59/G52</f>
        <v>259.97700207113303</v>
      </c>
      <c r="Q61">
        <f>Q54*$F$59/H52</f>
        <v>207.669352918054</v>
      </c>
      <c r="AH61" s="93"/>
      <c r="AI61" s="93"/>
      <c r="AJ61" s="93"/>
      <c r="AK61" s="93"/>
      <c r="AL61" s="93"/>
      <c r="AT61" s="151">
        <f>AT59/$F$59</f>
        <v>-0.06244227304801097</v>
      </c>
      <c r="AU61" s="151">
        <f>AU59/$F$59</f>
        <v>-0.02935484268245754</v>
      </c>
      <c r="AV61" s="151">
        <f>AV59/$F$59</f>
        <v>-0.12419706275429017</v>
      </c>
    </row>
    <row r="62" spans="14:48" ht="12.75">
      <c r="N62" s="1" t="s">
        <v>63</v>
      </c>
      <c r="O62">
        <f>R58</f>
        <v>363.3307658844356</v>
      </c>
      <c r="P62">
        <f>S58</f>
        <v>354.25641666036404</v>
      </c>
      <c r="Q62">
        <f>T58</f>
        <v>350.386494914651</v>
      </c>
      <c r="AH62" s="93"/>
      <c r="AI62" s="93"/>
      <c r="AJ62" s="93"/>
      <c r="AK62" s="93"/>
      <c r="AL62" s="93"/>
      <c r="AT62" s="22"/>
      <c r="AU62" s="22"/>
      <c r="AV62" s="22"/>
    </row>
    <row r="63" spans="14:48" ht="12.75">
      <c r="N63" s="1" t="s">
        <v>68</v>
      </c>
      <c r="O63" s="59">
        <f>O61+R58+$U$54*$F$59/F52</f>
        <v>496.3553335325124</v>
      </c>
      <c r="P63" s="59">
        <f>P61+S58+$U$54*$F$59/G52</f>
        <v>496.35533353251253</v>
      </c>
      <c r="Q63" s="59">
        <f>Q61+T58+$U$54*$F$59/H52</f>
        <v>496.3553335325124</v>
      </c>
      <c r="AH63" s="93"/>
      <c r="AI63" s="93"/>
      <c r="AJ63" s="93"/>
      <c r="AK63" s="93"/>
      <c r="AL63" s="93"/>
      <c r="AT63" s="144" t="s">
        <v>707</v>
      </c>
      <c r="AU63" s="22"/>
      <c r="AV63" s="22"/>
    </row>
    <row r="64" spans="14:48" ht="12.75">
      <c r="N64" s="1" t="s">
        <v>64</v>
      </c>
      <c r="S64">
        <f>45/100*4</f>
        <v>1.8</v>
      </c>
      <c r="AH64" s="93"/>
      <c r="AI64" s="93"/>
      <c r="AJ64" s="93"/>
      <c r="AK64" s="93"/>
      <c r="AL64" s="93"/>
      <c r="AT64" s="144">
        <f>F59</f>
        <v>496.3553335325125</v>
      </c>
      <c r="AU64" s="22"/>
      <c r="AV64" s="22"/>
    </row>
    <row r="65" spans="17:38" ht="12.75">
      <c r="Q65" s="6">
        <f>H57</f>
        <v>1.4263274223799147</v>
      </c>
      <c r="AH65" s="93"/>
      <c r="AI65" s="93"/>
      <c r="AJ65" s="93"/>
      <c r="AK65" s="93"/>
      <c r="AL65" s="93"/>
    </row>
    <row r="66" spans="34:43" ht="12.75">
      <c r="AH66" s="93"/>
      <c r="AI66" s="93"/>
      <c r="AJ66" s="93"/>
      <c r="AK66" s="93"/>
      <c r="AL66" s="93"/>
      <c r="AO66" s="1" t="s">
        <v>61</v>
      </c>
      <c r="AQ66" s="1" t="str">
        <f>CONCATENATE(ROUND(AO54,0),"   (",ROUND(AS54,0)," - ",ROUND(AW54,0),") Metric Tons")</f>
        <v>214   (77 - 351) Metric Tons</v>
      </c>
    </row>
    <row r="67" spans="34:38" ht="12.75">
      <c r="AH67" s="93"/>
      <c r="AI67" s="93"/>
      <c r="AJ67" s="93"/>
      <c r="AK67" s="93"/>
      <c r="AL67" s="93"/>
    </row>
    <row r="68" spans="6:38" ht="12.75">
      <c r="F68">
        <f>10^F2-1</f>
        <v>64.02250339924072</v>
      </c>
      <c r="AH68" s="93"/>
      <c r="AI68" s="93"/>
      <c r="AJ68" s="93"/>
      <c r="AK68" s="93"/>
      <c r="AL68" s="93"/>
    </row>
    <row r="69" spans="6:38" ht="12.75">
      <c r="F69">
        <f aca="true" t="shared" si="37" ref="F69:F110">10^F3-1</f>
        <v>5.0357607246181395</v>
      </c>
      <c r="AH69" s="93"/>
      <c r="AI69" s="93"/>
      <c r="AJ69" s="93"/>
      <c r="AK69" s="93"/>
      <c r="AL69" s="93"/>
    </row>
    <row r="70" spans="6:38" ht="12.75">
      <c r="F70">
        <f t="shared" si="37"/>
        <v>83.0969898168467</v>
      </c>
      <c r="AH70" s="93"/>
      <c r="AI70" s="93"/>
      <c r="AJ70" s="93"/>
      <c r="AK70" s="93"/>
      <c r="AL70" s="93"/>
    </row>
    <row r="71" spans="6:38" ht="12.75">
      <c r="F71">
        <f t="shared" si="37"/>
        <v>55.21618271610605</v>
      </c>
      <c r="AH71" s="93"/>
      <c r="AI71" s="93"/>
      <c r="AJ71" s="93"/>
      <c r="AK71" s="93"/>
      <c r="AL71" s="93"/>
    </row>
    <row r="72" spans="6:38" ht="12.75">
      <c r="F72">
        <f t="shared" si="37"/>
        <v>2.1340013815623853</v>
      </c>
      <c r="AH72" s="93"/>
      <c r="AI72" s="93"/>
      <c r="AJ72" s="93"/>
      <c r="AK72" s="93"/>
      <c r="AL72" s="93"/>
    </row>
    <row r="73" spans="6:38" ht="12.75">
      <c r="F73">
        <f t="shared" si="37"/>
        <v>42.335561503488734</v>
      </c>
      <c r="AH73" s="93"/>
      <c r="AI73" s="93"/>
      <c r="AJ73" s="93"/>
      <c r="AK73" s="93"/>
      <c r="AL73" s="93"/>
    </row>
    <row r="74" spans="6:38" ht="12.75">
      <c r="F74">
        <f t="shared" si="37"/>
        <v>2.3272549021571</v>
      </c>
      <c r="AH74" s="93"/>
      <c r="AI74" s="93"/>
      <c r="AJ74" s="93"/>
      <c r="AK74" s="93"/>
      <c r="AL74" s="93"/>
    </row>
    <row r="75" spans="6:38" ht="12.75">
      <c r="F75">
        <f t="shared" si="37"/>
        <v>0.8522061972472816</v>
      </c>
      <c r="AH75" s="93"/>
      <c r="AI75" s="93"/>
      <c r="AJ75" s="93"/>
      <c r="AK75" s="93"/>
      <c r="AL75" s="93"/>
    </row>
    <row r="76" spans="6:38" ht="12.75">
      <c r="F76">
        <f t="shared" si="37"/>
        <v>1.1808617323516568</v>
      </c>
      <c r="AH76" s="93"/>
      <c r="AI76" s="93"/>
      <c r="AJ76" s="93"/>
      <c r="AK76" s="93"/>
      <c r="AL76" s="93"/>
    </row>
    <row r="77" spans="6:38" ht="12.75">
      <c r="F77">
        <f t="shared" si="37"/>
        <v>2.1179550662918443</v>
      </c>
      <c r="AH77" s="93"/>
      <c r="AI77" s="93"/>
      <c r="AJ77" s="93"/>
      <c r="AK77" s="93"/>
      <c r="AL77" s="93"/>
    </row>
    <row r="78" ht="12.75">
      <c r="F78">
        <f t="shared" si="37"/>
        <v>0</v>
      </c>
    </row>
    <row r="79" ht="12.75">
      <c r="F79">
        <f t="shared" si="37"/>
        <v>0</v>
      </c>
    </row>
    <row r="80" ht="12.75">
      <c r="F80">
        <f t="shared" si="37"/>
        <v>16.99617704668154</v>
      </c>
    </row>
    <row r="81" ht="12.75">
      <c r="F81">
        <f t="shared" si="37"/>
        <v>4.916866631602839</v>
      </c>
    </row>
    <row r="82" ht="12.75">
      <c r="F82">
        <f t="shared" si="37"/>
        <v>0.7355658639263241</v>
      </c>
    </row>
    <row r="83" ht="12.75">
      <c r="F83">
        <f t="shared" si="37"/>
        <v>0.08356213762480968</v>
      </c>
    </row>
    <row r="84" ht="12.75">
      <c r="F84">
        <f t="shared" si="37"/>
        <v>7.657593615760341</v>
      </c>
    </row>
    <row r="85" ht="12.75">
      <c r="F85">
        <f t="shared" si="37"/>
        <v>16.287446783261988</v>
      </c>
    </row>
    <row r="86" ht="12.75">
      <c r="F86">
        <f t="shared" si="37"/>
        <v>34.654897315420754</v>
      </c>
    </row>
    <row r="87" ht="12.75">
      <c r="F87">
        <f t="shared" si="37"/>
        <v>3.8141344590539417</v>
      </c>
    </row>
    <row r="88" ht="12.75">
      <c r="F88">
        <f t="shared" si="37"/>
        <v>3.778779667167618</v>
      </c>
    </row>
    <row r="89" ht="12.75">
      <c r="F89">
        <f t="shared" si="37"/>
        <v>1.1130505822238632</v>
      </c>
    </row>
    <row r="90" ht="12.75">
      <c r="F90">
        <f t="shared" si="37"/>
        <v>8.723621346242663</v>
      </c>
    </row>
    <row r="91" ht="12.75">
      <c r="F91">
        <f t="shared" si="37"/>
        <v>3.6008885022800863</v>
      </c>
    </row>
    <row r="92" ht="12.75">
      <c r="F92">
        <f t="shared" si="37"/>
        <v>3.8168845067817987</v>
      </c>
    </row>
    <row r="93" ht="12.75">
      <c r="F93">
        <f t="shared" si="37"/>
        <v>9.860101696242403</v>
      </c>
    </row>
    <row r="94" ht="12.75">
      <c r="F94">
        <f t="shared" si="37"/>
        <v>31.26166138459117</v>
      </c>
    </row>
    <row r="95" ht="12.75">
      <c r="F95">
        <f t="shared" si="37"/>
        <v>16.479191640519442</v>
      </c>
    </row>
    <row r="96" ht="12.75">
      <c r="F96">
        <f t="shared" si="37"/>
        <v>0</v>
      </c>
    </row>
    <row r="97" ht="12.75">
      <c r="F97">
        <f t="shared" si="37"/>
        <v>61.42814744376921</v>
      </c>
    </row>
    <row r="98" ht="12.75">
      <c r="F98">
        <f t="shared" si="37"/>
        <v>2.1428607278212555</v>
      </c>
    </row>
    <row r="99" ht="12.75">
      <c r="F99">
        <f t="shared" si="37"/>
        <v>3.5734205831157224</v>
      </c>
    </row>
    <row r="100" ht="12.75">
      <c r="F100">
        <f t="shared" si="37"/>
        <v>22.96944600322939</v>
      </c>
    </row>
    <row r="101" ht="12.75">
      <c r="F101">
        <f t="shared" si="37"/>
        <v>11.34279769885924</v>
      </c>
    </row>
    <row r="102" ht="12.75">
      <c r="F102">
        <f t="shared" si="37"/>
        <v>19.490563080763128</v>
      </c>
    </row>
    <row r="103" ht="12.75">
      <c r="F103">
        <f>10^F37-1</f>
        <v>4.772093580390304</v>
      </c>
    </row>
    <row r="104" ht="12.75">
      <c r="F104">
        <f t="shared" si="37"/>
        <v>46.12331151147085</v>
      </c>
    </row>
    <row r="105" ht="12.75">
      <c r="F105">
        <f t="shared" si="37"/>
        <v>0.34256158268219283</v>
      </c>
    </row>
    <row r="106" ht="12.75">
      <c r="F106">
        <f t="shared" si="37"/>
        <v>10.071851008351032</v>
      </c>
    </row>
    <row r="107" ht="12.75">
      <c r="F107">
        <f t="shared" si="37"/>
        <v>2.975689767870924</v>
      </c>
    </row>
    <row r="108" ht="12.75">
      <c r="F108">
        <f t="shared" si="37"/>
        <v>33.30333989178565</v>
      </c>
    </row>
    <row r="109" ht="12.75">
      <c r="F109">
        <f t="shared" si="37"/>
        <v>4.132744981768354</v>
      </c>
    </row>
    <row r="110" ht="12.75">
      <c r="F110">
        <f t="shared" si="37"/>
        <v>0.5573119925115653</v>
      </c>
    </row>
    <row r="112" ht="12.75">
      <c r="F112">
        <f>MIN(F68:F110)</f>
        <v>0</v>
      </c>
    </row>
    <row r="113" ht="12.75">
      <c r="F113">
        <f>MAX(F68:F110)</f>
        <v>83.0969898168467</v>
      </c>
    </row>
    <row r="114" ht="12.75">
      <c r="F114">
        <f>AVERAGE(F68:F110)</f>
        <v>15.007577685434441</v>
      </c>
    </row>
  </sheetData>
  <mergeCells count="1">
    <mergeCell ref="A51:E59"/>
  </mergeCell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BH27"/>
  <sheetViews>
    <sheetView view="pageBreakPreview" zoomScale="60" zoomScaleNormal="75" workbookViewId="0" topLeftCell="AA6">
      <selection activeCell="AL9" sqref="AL9:AM9"/>
    </sheetView>
  </sheetViews>
  <sheetFormatPr defaultColWidth="9.140625" defaultRowHeight="12.75"/>
  <cols>
    <col min="1" max="1" width="8.140625" style="0" customWidth="1"/>
    <col min="2" max="2" width="2.28125" style="0" customWidth="1"/>
    <col min="3" max="3" width="3.140625" style="0" customWidth="1"/>
    <col min="4" max="4" width="20.28125" style="0" customWidth="1"/>
    <col min="5" max="5" width="19.57421875" style="26" customWidth="1"/>
    <col min="7" max="7" width="11.8515625" style="0" customWidth="1"/>
    <col min="8" max="8" width="15.7109375" style="0" customWidth="1"/>
    <col min="9" max="9" width="2.28125" style="0" customWidth="1"/>
    <col min="11" max="11" width="20.140625" style="0" customWidth="1"/>
    <col min="12" max="12" width="12.00390625" style="0" customWidth="1"/>
    <col min="13" max="13" width="3.57421875" style="0" customWidth="1"/>
    <col min="14" max="14" width="32.421875" style="0" customWidth="1"/>
    <col min="15" max="15" width="19.57421875" style="0" customWidth="1"/>
    <col min="16" max="16" width="15.00390625" style="0" customWidth="1"/>
    <col min="17" max="17" width="13.7109375" style="0" customWidth="1"/>
    <col min="18" max="18" width="12.57421875" style="0" customWidth="1"/>
    <col min="19" max="19" width="20.140625" style="0" customWidth="1"/>
    <col min="22" max="22" width="5.7109375" style="0" customWidth="1"/>
    <col min="23" max="23" width="2.28125" style="0" customWidth="1"/>
    <col min="24" max="24" width="3.140625" style="0" customWidth="1"/>
    <col min="25" max="25" width="20.28125" style="0" customWidth="1"/>
    <col min="26" max="26" width="19.57421875" style="0" customWidth="1"/>
    <col min="28" max="28" width="11.8515625" style="0" customWidth="1"/>
    <col min="29" max="29" width="15.7109375" style="0" customWidth="1"/>
    <col min="30" max="30" width="2.28125" style="0" customWidth="1"/>
    <col min="31" max="31" width="5.57421875" style="0" customWidth="1"/>
    <col min="32" max="32" width="4.28125" style="0" customWidth="1"/>
    <col min="33" max="33" width="3.140625" style="0" customWidth="1"/>
    <col min="34" max="34" width="3.57421875" style="0" customWidth="1"/>
    <col min="35" max="35" width="31.421875" style="0" customWidth="1"/>
    <col min="36" max="36" width="17.421875" style="0" customWidth="1"/>
    <col min="38" max="38" width="13.7109375" style="0" customWidth="1"/>
    <col min="39" max="39" width="10.140625" style="0" customWidth="1"/>
    <col min="40" max="40" width="23.421875" style="0" customWidth="1"/>
    <col min="41" max="42" width="5.7109375" style="0" customWidth="1"/>
    <col min="43" max="43" width="2.28125" style="0" customWidth="1"/>
    <col min="44" max="44" width="3.140625" style="0" customWidth="1"/>
    <col min="45" max="45" width="20.28125" style="0" customWidth="1"/>
    <col min="46" max="46" width="19.57421875" style="0" customWidth="1"/>
    <col min="48" max="48" width="11.8515625" style="0" customWidth="1"/>
    <col min="49" max="49" width="15.7109375" style="0" customWidth="1"/>
    <col min="50" max="50" width="2.28125" style="0" customWidth="1"/>
    <col min="51" max="51" width="5.57421875" style="0" customWidth="1"/>
    <col min="52" max="52" width="4.28125" style="0" customWidth="1"/>
    <col min="53" max="53" width="3.140625" style="0" customWidth="1"/>
    <col min="54" max="54" width="3.57421875" style="0" customWidth="1"/>
    <col min="55" max="55" width="31.421875" style="0" customWidth="1"/>
    <col min="56" max="56" width="17.421875" style="0" customWidth="1"/>
    <col min="58" max="58" width="9.7109375" style="0" customWidth="1"/>
    <col min="59" max="59" width="10.7109375" style="0" customWidth="1"/>
    <col min="60" max="60" width="25.140625" style="0" customWidth="1"/>
    <col min="61" max="61" width="5.7109375" style="0" customWidth="1"/>
  </cols>
  <sheetData>
    <row r="1" spans="26:46" ht="12.75">
      <c r="Z1" s="26"/>
      <c r="AT1" s="26"/>
    </row>
    <row r="2" spans="4:49" ht="12.75">
      <c r="D2" s="24"/>
      <c r="E2" s="25"/>
      <c r="F2" s="24"/>
      <c r="G2" s="24"/>
      <c r="H2" s="24"/>
      <c r="Y2" s="24"/>
      <c r="Z2" s="25"/>
      <c r="AA2" s="24"/>
      <c r="AB2" s="24"/>
      <c r="AC2" s="24"/>
      <c r="AS2" s="24"/>
      <c r="AT2" s="25"/>
      <c r="AU2" s="24"/>
      <c r="AV2" s="24"/>
      <c r="AW2" s="24"/>
    </row>
    <row r="3" spans="4:49" ht="12.75">
      <c r="D3" s="24"/>
      <c r="E3" s="25"/>
      <c r="F3" s="24"/>
      <c r="G3" s="24"/>
      <c r="H3" s="24"/>
      <c r="Y3" s="24"/>
      <c r="Z3" s="25"/>
      <c r="AA3" s="24"/>
      <c r="AB3" s="24"/>
      <c r="AC3" s="24"/>
      <c r="AS3" s="24"/>
      <c r="AT3" s="25"/>
      <c r="AU3" s="24"/>
      <c r="AV3" s="24"/>
      <c r="AW3" s="24"/>
    </row>
    <row r="4" spans="4:49" ht="12.75">
      <c r="D4" s="24"/>
      <c r="E4" s="25"/>
      <c r="F4" s="24"/>
      <c r="G4" s="24"/>
      <c r="H4" s="24"/>
      <c r="Y4" s="24"/>
      <c r="Z4" s="25"/>
      <c r="AA4" s="24"/>
      <c r="AB4" s="24"/>
      <c r="AC4" s="24"/>
      <c r="AS4" s="24"/>
      <c r="AT4" s="25"/>
      <c r="AU4" s="24"/>
      <c r="AV4" s="24"/>
      <c r="AW4" s="24"/>
    </row>
    <row r="5" spans="4:49" ht="12.75" customHeight="1">
      <c r="D5" s="24"/>
      <c r="E5" s="25"/>
      <c r="F5" s="24"/>
      <c r="G5" s="24"/>
      <c r="H5" s="24"/>
      <c r="Y5" s="24"/>
      <c r="Z5" s="25"/>
      <c r="AA5" s="24"/>
      <c r="AB5" s="24"/>
      <c r="AC5" s="24"/>
      <c r="AS5" s="24"/>
      <c r="AT5" s="25"/>
      <c r="AU5" s="24"/>
      <c r="AV5" s="24"/>
      <c r="AW5" s="24"/>
    </row>
    <row r="6" spans="4:60" ht="80.25" customHeight="1">
      <c r="D6" s="287" t="s">
        <v>606</v>
      </c>
      <c r="E6" s="287"/>
      <c r="F6" s="287"/>
      <c r="G6" s="287"/>
      <c r="H6" s="287"/>
      <c r="N6" s="292" t="s">
        <v>605</v>
      </c>
      <c r="O6" s="292"/>
      <c r="P6" s="292"/>
      <c r="Q6" s="292"/>
      <c r="R6" s="292"/>
      <c r="S6" s="292"/>
      <c r="T6" s="293"/>
      <c r="Y6" s="287" t="s">
        <v>610</v>
      </c>
      <c r="Z6" s="287"/>
      <c r="AA6" s="287"/>
      <c r="AB6" s="287"/>
      <c r="AC6" s="287"/>
      <c r="AI6" s="292" t="s">
        <v>617</v>
      </c>
      <c r="AJ6" s="292"/>
      <c r="AK6" s="292"/>
      <c r="AL6" s="292"/>
      <c r="AM6" s="292"/>
      <c r="AN6" s="293"/>
      <c r="AO6" s="44"/>
      <c r="AS6" s="287" t="s">
        <v>631</v>
      </c>
      <c r="AT6" s="287"/>
      <c r="AU6" s="287"/>
      <c r="AV6" s="287"/>
      <c r="AW6" s="287"/>
      <c r="BC6" s="292" t="s">
        <v>632</v>
      </c>
      <c r="BD6" s="292"/>
      <c r="BE6" s="292"/>
      <c r="BF6" s="292"/>
      <c r="BG6" s="292"/>
      <c r="BH6" s="293"/>
    </row>
    <row r="7" spans="3:60" ht="13.5" customHeight="1" thickBot="1">
      <c r="C7" s="37"/>
      <c r="D7" s="38"/>
      <c r="E7" s="39"/>
      <c r="F7" s="40"/>
      <c r="G7" s="40"/>
      <c r="H7" s="38"/>
      <c r="I7" s="41"/>
      <c r="M7" s="37"/>
      <c r="N7" s="38"/>
      <c r="O7" s="39"/>
      <c r="P7" s="40"/>
      <c r="Q7" s="40"/>
      <c r="R7" s="40"/>
      <c r="S7" s="38"/>
      <c r="T7" s="41"/>
      <c r="X7" s="37"/>
      <c r="Y7" s="38"/>
      <c r="Z7" s="39"/>
      <c r="AA7" s="40"/>
      <c r="AB7" s="40"/>
      <c r="AC7" s="38"/>
      <c r="AD7" s="41"/>
      <c r="AH7" s="37"/>
      <c r="AI7" s="38"/>
      <c r="AJ7" s="39"/>
      <c r="AK7" s="40"/>
      <c r="AL7" s="40"/>
      <c r="AM7" s="38"/>
      <c r="AN7" s="41"/>
      <c r="AO7" s="46"/>
      <c r="AR7" s="37"/>
      <c r="AS7" s="38"/>
      <c r="AT7" s="39"/>
      <c r="AU7" s="40"/>
      <c r="AV7" s="40"/>
      <c r="AW7" s="38"/>
      <c r="AX7" s="41"/>
      <c r="BB7" s="37"/>
      <c r="BC7" s="38"/>
      <c r="BD7" s="39"/>
      <c r="BE7" s="40"/>
      <c r="BF7" s="40"/>
      <c r="BG7" s="38"/>
      <c r="BH7" s="41"/>
    </row>
    <row r="8" spans="3:60" ht="57" customHeight="1" thickBot="1" thickTop="1">
      <c r="C8" s="42"/>
      <c r="D8" s="27" t="s">
        <v>286</v>
      </c>
      <c r="E8" s="28" t="str">
        <f>CONCATENATE(wshed_char_unis_excluded!EK59*0.5," kg/ha")</f>
        <v>32445 kg/ha</v>
      </c>
      <c r="F8" s="43"/>
      <c r="G8" s="33" t="str">
        <f>CONCATENATE(ROUND(1000*wshed_char_unis_excluded!DZ46/wshed_char_unis_excluded!ED59,0)," kg/ha/yr")</f>
        <v>13557 kg/ha/yr</v>
      </c>
      <c r="H8" s="34" t="s">
        <v>284</v>
      </c>
      <c r="I8" s="44"/>
      <c r="M8" s="42"/>
      <c r="N8" s="112" t="s">
        <v>607</v>
      </c>
      <c r="O8" s="109" t="str">
        <f>CONCATENATE(ROUND(rainwater_summary!E217,2)," kg/ha/yr")</f>
        <v>1.3 kg/ha/yr</v>
      </c>
      <c r="P8" s="46"/>
      <c r="Q8" s="46"/>
      <c r="R8" s="46"/>
      <c r="S8" s="46"/>
      <c r="T8" s="44"/>
      <c r="X8" s="42"/>
      <c r="Y8" s="27" t="s">
        <v>286</v>
      </c>
      <c r="Z8" s="28" t="str">
        <f>CONCATENATE(wshed_char_unis_excluded!EK59*0.5," kg/ha")</f>
        <v>32445 kg/ha</v>
      </c>
      <c r="AA8" s="43"/>
      <c r="AB8" s="33" t="str">
        <f>CONCATENATE(ROUND(1000*wshed_char_unis_excluded!EI46/wshed_char_unis_excluded!ED65,0)," kg/ha/yr")</f>
        <v>14356 kg/ha/yr</v>
      </c>
      <c r="AC8" s="34" t="s">
        <v>284</v>
      </c>
      <c r="AD8" s="44"/>
      <c r="AH8" s="42"/>
      <c r="AI8" s="112" t="s">
        <v>607</v>
      </c>
      <c r="AJ8" s="109" t="str">
        <f>CONCATENATE(ROUND(rainwater_summary!E217,2)," kg/ha/yr")</f>
        <v>1.3 kg/ha/yr</v>
      </c>
      <c r="AK8" s="46"/>
      <c r="AL8" s="46"/>
      <c r="AM8" s="46"/>
      <c r="AN8" s="44"/>
      <c r="AO8" s="46"/>
      <c r="AR8" s="42"/>
      <c r="AS8" s="27" t="s">
        <v>286</v>
      </c>
      <c r="AT8" s="28" t="str">
        <f>Z8</f>
        <v>32445 kg/ha</v>
      </c>
      <c r="AU8" s="43"/>
      <c r="AV8" s="33" t="str">
        <f>CONCATENATE(ROUND(1000*SUM(wshed_char_unis_excluded!DY4,wshed_char_unis_excluded!DY31,wshed_char_unis_excluded!DY36,wshed_char_unis_excluded!DY42)/SUM(wshed_char_unis_excluded!BU4,wshed_char_unis_excluded!BU31,wshed_char_unis_excluded!BU36,wshed_char_unis_excluded!BU42)*10000,1)," kg/ha/yr")</f>
        <v>14605 kg/ha/yr</v>
      </c>
      <c r="AW8" s="34" t="s">
        <v>284</v>
      </c>
      <c r="AX8" s="44"/>
      <c r="BB8" s="42"/>
      <c r="BC8" s="112" t="s">
        <v>607</v>
      </c>
      <c r="BD8" s="109" t="str">
        <f>CONCATENATE(ROUND(rainwater_summary!E217,2)," kg/ha/yr")</f>
        <v>1.3 kg/ha/yr</v>
      </c>
      <c r="BE8" s="46"/>
      <c r="BF8" s="46"/>
      <c r="BG8" s="46"/>
      <c r="BH8" s="44"/>
    </row>
    <row r="9" spans="3:60" ht="75" customHeight="1" thickBot="1" thickTop="1">
      <c r="C9" s="42"/>
      <c r="D9" s="29" t="s">
        <v>285</v>
      </c>
      <c r="E9" s="30" t="str">
        <f>CONCATENATE(wshed_char_unis_excluded!EK60*0.5," kg/ha")</f>
        <v>12815 kg/ha</v>
      </c>
      <c r="F9" s="43"/>
      <c r="G9" s="43"/>
      <c r="H9" s="43"/>
      <c r="I9" s="44"/>
      <c r="M9" s="42"/>
      <c r="N9" s="27" t="s">
        <v>603</v>
      </c>
      <c r="O9" s="28" t="str">
        <f>CONCATENATE(wshed_char_unis_excluded!EK59*0.5*(1/15)," kg/ha")</f>
        <v>2163 kg/ha</v>
      </c>
      <c r="P9" s="43"/>
      <c r="Q9" s="128" t="str">
        <f>CONCATENATE(ROUND(Pop_landcover_effects_on_DIN!AE46,2)," kg DIN/ha/yr")</f>
        <v>0.65 kg DIN/ha/yr</v>
      </c>
      <c r="R9" s="288" t="s">
        <v>633</v>
      </c>
      <c r="S9" s="289"/>
      <c r="T9" s="44"/>
      <c r="X9" s="42"/>
      <c r="Y9" s="29" t="s">
        <v>285</v>
      </c>
      <c r="Z9" s="30" t="str">
        <f>E9</f>
        <v>12815 kg/ha</v>
      </c>
      <c r="AA9" s="43"/>
      <c r="AB9" s="43"/>
      <c r="AC9" s="43"/>
      <c r="AD9" s="44"/>
      <c r="AH9" s="42"/>
      <c r="AI9" s="27" t="s">
        <v>603</v>
      </c>
      <c r="AJ9" s="28" t="str">
        <f>CONCATENATE(wshed_char_unis_excluded!EK59*0.5*(1/15)," kg/ha")</f>
        <v>2163 kg/ha</v>
      </c>
      <c r="AK9" s="43"/>
      <c r="AL9" s="296" t="str">
        <f>CONCATENATE(ROUND(Pop_landcover_effects_on_DIN!AB46,2)," (",ROUND(MIN(Pop_landcover_effects_on_DIN!AB47),2),"  - ",ROUND(MAX(Pop_landcover_effects_on_DIN!AB48),2),")","       kg DIN /ha/yr")</f>
        <v>1.13 (0  - 2.48)       kg DIN /ha/yr</v>
      </c>
      <c r="AM9" s="299"/>
      <c r="AN9" s="204" t="s">
        <v>633</v>
      </c>
      <c r="AO9" s="46"/>
      <c r="AR9" s="42"/>
      <c r="AS9" s="29" t="s">
        <v>285</v>
      </c>
      <c r="AT9" s="30" t="str">
        <f>Z9</f>
        <v>12815 kg/ha</v>
      </c>
      <c r="AU9" s="43"/>
      <c r="AV9" s="43"/>
      <c r="AW9" s="43"/>
      <c r="AX9" s="44"/>
      <c r="BB9" s="42"/>
      <c r="BC9" s="27" t="s">
        <v>603</v>
      </c>
      <c r="BD9" s="28" t="str">
        <f>AJ9</f>
        <v>2163 kg/ha</v>
      </c>
      <c r="BE9" s="43"/>
      <c r="BF9" s="296" t="str">
        <f>CONCATENATE(ROUND(AVERAGE(Pop_landcover_effects_on_DIN!Y4,Pop_landcover_effects_on_DIN!Y31,Pop_landcover_effects_on_DIN!Y36,Pop_landcover_effects_on_DIN!Y42),2)," (",ROUND(MIN(Pop_landcover_effects_on_DIN!Y4,Pop_landcover_effects_on_DIN!Y31,Pop_landcover_effects_on_DIN!Y36,Pop_landcover_effects_on_DIN!Y42),2),"  - ",ROUND(MAX(Pop_landcover_effects_on_DIN!Y4,Pop_landcover_effects_on_DIN!Y31,Pop_landcover_effects_on_DIN!Y36,Pop_landcover_effects_on_DIN!Y42),2),")","       kg DIN /ha/yr")</f>
        <v>1.8 (1.47  - 2.48)       kg DIN /ha/yr</v>
      </c>
      <c r="BG9" s="297"/>
      <c r="BH9" s="204" t="s">
        <v>633</v>
      </c>
    </row>
    <row r="10" spans="3:60" ht="54" customHeight="1" thickBot="1" thickTop="1">
      <c r="C10" s="42"/>
      <c r="D10" s="31" t="s">
        <v>283</v>
      </c>
      <c r="E10" s="32" t="str">
        <f>CONCATENATE(ROUND(wshed_char_unis_excluded!EB55,0)," kg/ha")</f>
        <v>218618 kg/ha</v>
      </c>
      <c r="F10" s="43"/>
      <c r="G10" s="43"/>
      <c r="H10" s="43"/>
      <c r="I10" s="44"/>
      <c r="M10" s="42"/>
      <c r="N10" s="29" t="s">
        <v>604</v>
      </c>
      <c r="O10" s="30" t="str">
        <f>CONCATENATE(ROUND(wshed_char_unis_excluded!EK60*0.5*(1/15),0)," kg/ha")</f>
        <v>854 kg/ha</v>
      </c>
      <c r="P10" s="43"/>
      <c r="Q10" s="43"/>
      <c r="R10" s="43"/>
      <c r="S10" s="43"/>
      <c r="T10" s="44"/>
      <c r="X10" s="42"/>
      <c r="Y10" s="31" t="s">
        <v>283</v>
      </c>
      <c r="Z10" s="32" t="str">
        <f>CONCATENATE(ROUND(wshed_char_unis_excluded!EK55,0)," kg/ha")</f>
        <v>182346 kg/ha</v>
      </c>
      <c r="AA10" s="43"/>
      <c r="AB10" s="43"/>
      <c r="AC10" s="43"/>
      <c r="AD10" s="44"/>
      <c r="AH10" s="42"/>
      <c r="AI10" s="29" t="s">
        <v>604</v>
      </c>
      <c r="AJ10" s="30" t="str">
        <f>O10</f>
        <v>854 kg/ha</v>
      </c>
      <c r="AK10" s="43"/>
      <c r="AL10" s="43"/>
      <c r="AM10" s="43"/>
      <c r="AN10" s="44"/>
      <c r="AO10" s="46"/>
      <c r="AR10" s="42"/>
      <c r="AS10" s="31" t="s">
        <v>621</v>
      </c>
      <c r="AT10" s="32" t="str">
        <f>CONCATENATE(ROUND(0.58*1000*SUM(wshed_char_unis_excluded!CP4,wshed_char_unis_excluded!CP31,wshed_char_unis_excluded!CP36,wshed_char_unis_excluded!CP42)/SUM(wshed_char_unis_excluded!BU4,wshed_char_unis_excluded!BU31,wshed_char_unis_excluded!BU36,wshed_char_unis_excluded!BU42)*10000,0)," kg/ha")</f>
        <v>161597 kg/ha</v>
      </c>
      <c r="AU10" s="43"/>
      <c r="AV10" s="43"/>
      <c r="AW10" s="43"/>
      <c r="AX10" s="44"/>
      <c r="BB10" s="42"/>
      <c r="BC10" s="29" t="s">
        <v>604</v>
      </c>
      <c r="BD10" s="30" t="str">
        <f>AJ10</f>
        <v>854 kg/ha</v>
      </c>
      <c r="BE10" s="43"/>
      <c r="BF10" s="43"/>
      <c r="BG10" s="294" t="str">
        <f>CONCATENATE("DIN contribution per person estimated: ",ROUND(Pop_landcover_effects_on_DIN!R56,1),"  (",ROUND(MIN(Pop_landcover_effects_on_DIN!V4,Pop_landcover_effects_on_DIN!V31,Pop_landcover_effects_on_DIN!V42,Pop_landcover_effects_on_DIN!V36),1)," - ",ROUND(MAX(Pop_landcover_effects_on_DIN!V4,Pop_landcover_effects_on_DIN!V31,Pop_landcover_effects_on_DIN!V42,Pop_landcover_effects_on_DIN!V36),1),")"," kg/yr","    from multiple regression")</f>
        <v>DIN contribution per person estimated: 4.6  (2.4 - 7.6) kg/yr    from multiple regression</v>
      </c>
      <c r="BH10" s="295"/>
    </row>
    <row r="11" spans="3:60" ht="44.25" customHeight="1" thickBot="1" thickTop="1">
      <c r="C11" s="42"/>
      <c r="D11" s="43"/>
      <c r="E11" s="45"/>
      <c r="F11" s="46"/>
      <c r="G11" s="114" t="str">
        <f>CONCATENATE(ROUND(Loads!AM7,1),," kg/ha/yr")</f>
        <v>16.9 kg/ha/yr</v>
      </c>
      <c r="H11" s="115" t="s">
        <v>281</v>
      </c>
      <c r="I11" s="44"/>
      <c r="M11" s="42"/>
      <c r="N11" s="31" t="s">
        <v>288</v>
      </c>
      <c r="O11" s="32" t="str">
        <f>CONCATENATE(ROUND(wshed_char_unis_excluded!EA55,0)," kg/ha")</f>
        <v>10931 kg/ha</v>
      </c>
      <c r="P11" s="43"/>
      <c r="Q11" s="290" t="s">
        <v>634</v>
      </c>
      <c r="R11" s="291"/>
      <c r="S11" s="291"/>
      <c r="T11" s="44"/>
      <c r="X11" s="42"/>
      <c r="Y11" s="43"/>
      <c r="Z11" s="45"/>
      <c r="AA11" s="46"/>
      <c r="AB11" s="35" t="str">
        <f>CONCATENATE(ROUND(Loads!AL5,1),," kg/ha/yr")</f>
        <v>16.4 kg/ha/yr</v>
      </c>
      <c r="AC11" s="36" t="s">
        <v>281</v>
      </c>
      <c r="AD11" s="44"/>
      <c r="AH11" s="42"/>
      <c r="AI11" s="31" t="s">
        <v>288</v>
      </c>
      <c r="AJ11" s="32" t="str">
        <f>CONCATENATE(ROUND(wshed_char_unis_excluded!EJ55,0)," kg/ha")</f>
        <v>9117 kg/ha</v>
      </c>
      <c r="AK11" s="43"/>
      <c r="AL11" s="290" t="s">
        <v>634</v>
      </c>
      <c r="AM11" s="291"/>
      <c r="AN11" s="298"/>
      <c r="AO11" s="46"/>
      <c r="AR11" s="42"/>
      <c r="AS11" s="43"/>
      <c r="AT11" s="45"/>
      <c r="AU11" s="46"/>
      <c r="AV11" s="35" t="str">
        <f>CONCATENATE(1000*ROUND(SUM(Flow_wt_each_stream!U5,Flow_wt_each_stream!U37,Flow_wt_each_stream!U43,Flow_wt_each_stream!U32)/(1/10000*SUM(Flow_wt_each_stream!AI5,Flow_wt_each_stream!AI32,Flow_wt_each_stream!AI37,Flow_wt_each_stream!AI43)),2),," kg/ha/yr")</f>
        <v>20 kg/ha/yr</v>
      </c>
      <c r="AW11" s="36" t="s">
        <v>281</v>
      </c>
      <c r="AX11" s="44"/>
      <c r="BB11" s="42"/>
      <c r="BC11" s="31" t="s">
        <v>288</v>
      </c>
      <c r="BD11" s="32" t="str">
        <f>CONCATENATE(ROUND(0.58*1000*SUM(wshed_char_unis_excluded!CP4,wshed_char_unis_excluded!CP31,wshed_char_unis_excluded!CP36,wshed_char_unis_excluded!CP42)/SUM(wshed_char_unis_excluded!BU4,wshed_char_unis_excluded!BU31,wshed_char_unis_excluded!BU36,wshed_char_unis_excluded!BU42)*10000*1/20,0)," kg/ha")</f>
        <v>8080 kg/ha</v>
      </c>
      <c r="BE11" s="43"/>
      <c r="BF11" s="290" t="s">
        <v>634</v>
      </c>
      <c r="BG11" s="291"/>
      <c r="BH11" s="298"/>
    </row>
    <row r="12" spans="3:60" ht="38.25" customHeight="1" thickBot="1" thickTop="1">
      <c r="C12" s="42"/>
      <c r="D12" s="43">
        <f>wshed_char_unis_excluded!EB55+wshed_char_unis_excluded!EK60*0.5</f>
        <v>231432.9264399088</v>
      </c>
      <c r="E12" s="45"/>
      <c r="F12" s="46"/>
      <c r="G12" s="116"/>
      <c r="H12" s="117" t="s">
        <v>282</v>
      </c>
      <c r="I12" s="44"/>
      <c r="M12" s="42"/>
      <c r="N12" s="43"/>
      <c r="O12" s="45"/>
      <c r="P12" s="43"/>
      <c r="Q12" s="114" t="str">
        <f>CONCATENATE(ROUND(Loads!AL17,2),," kg/ha/yr")</f>
        <v>1.95 kg/ha/yr</v>
      </c>
      <c r="R12" s="121"/>
      <c r="S12" s="115" t="s">
        <v>143</v>
      </c>
      <c r="T12" s="44"/>
      <c r="X12" s="42"/>
      <c r="Y12" s="43"/>
      <c r="Z12" s="45"/>
      <c r="AA12" s="46"/>
      <c r="AB12" s="116"/>
      <c r="AC12" s="117" t="s">
        <v>282</v>
      </c>
      <c r="AD12" s="44"/>
      <c r="AH12" s="42"/>
      <c r="AI12" s="43"/>
      <c r="AJ12" s="45"/>
      <c r="AK12" s="43"/>
      <c r="AL12" s="280" t="str">
        <f>CONCATENATE(ROUND(Loads!AL15,2),," kg/ha/yr")</f>
        <v>2.12 kg/ha/yr</v>
      </c>
      <c r="AM12" s="281"/>
      <c r="AN12" s="131" t="s">
        <v>143</v>
      </c>
      <c r="AO12" s="46"/>
      <c r="AR12" s="42"/>
      <c r="AS12" s="43"/>
      <c r="AT12" s="45"/>
      <c r="AU12" s="46"/>
      <c r="AV12" s="116"/>
      <c r="AW12" s="117" t="s">
        <v>282</v>
      </c>
      <c r="AX12" s="44"/>
      <c r="BB12" s="42"/>
      <c r="BC12" s="43"/>
      <c r="BD12" s="45"/>
      <c r="BE12" s="43"/>
      <c r="BF12" s="280" t="str">
        <f>CONCATENATE(1000*ROUND(SUM(Flow_wt_each_stream!W5,Flow_wt_each_stream!W37,Flow_wt_each_stream!W43,Flow_wt_each_stream!W32)/(1/10000*SUM(Flow_wt_each_stream!AI5,Flow_wt_each_stream!AI32,Flow_wt_each_stream!AI37,Flow_wt_each_stream!AI43)),5),," kg/ha/yr")</f>
        <v>2.63 kg/ha/yr</v>
      </c>
      <c r="BG12" s="281"/>
      <c r="BH12" s="131" t="s">
        <v>143</v>
      </c>
    </row>
    <row r="13" spans="3:60" ht="30.75" customHeight="1" thickBot="1" thickTop="1">
      <c r="C13" s="42"/>
      <c r="D13" s="43">
        <f>1000*wshed_char_unis_excluded!DZ46/wshed_char_unis_excluded!ED59</f>
        <v>13557.079757348007</v>
      </c>
      <c r="E13" s="45"/>
      <c r="F13" s="46"/>
      <c r="G13" s="118" t="s">
        <v>558</v>
      </c>
      <c r="H13" s="119" t="s">
        <v>611</v>
      </c>
      <c r="I13" s="44"/>
      <c r="M13" s="42"/>
      <c r="N13" s="282" t="str">
        <f>CONCATENATE("Net N sink (Inputs other than fixation - outputs) =                                                       "," + ",ROUND(N17,2)," kg/ha/yr","     (",ROUND(N17/N16*100,0),"% of inputs other than N fixation)")</f>
        <v>Net N sink (Inputs other than fixation - outputs) =                                                        + 0 kg/ha/yr     (0% of inputs other than N fixation)</v>
      </c>
      <c r="O13" s="283"/>
      <c r="P13" s="43"/>
      <c r="Q13" s="116"/>
      <c r="R13" s="122" t="str">
        <f>CONCATENATE(ROUND(Loads!AL12,1)," kg/ha/yr")</f>
        <v>0.7 kg/ha/yr</v>
      </c>
      <c r="S13" s="117" t="s">
        <v>164</v>
      </c>
      <c r="T13" s="44"/>
      <c r="X13" s="42"/>
      <c r="Y13" s="43"/>
      <c r="Z13" s="45"/>
      <c r="AA13" s="46"/>
      <c r="AB13" s="118" t="s">
        <v>558</v>
      </c>
      <c r="AC13" s="119" t="s">
        <v>611</v>
      </c>
      <c r="AD13" s="44"/>
      <c r="AH13" s="42"/>
      <c r="AI13" s="282" t="str">
        <f>CONCATENATE("Net N sink (Inputs other fixation - outputs)=                                                        "," + ",ROUND(AI17,2)," kg/ha/yr","     (",ROUND(AI17/AI16*100,0),"% of inputs other than N fixation)")</f>
        <v>Net N sink (Inputs other fixation - outputs)=                                                         + 0.32 kg/ha/yr     (24% of inputs other than N fixation)</v>
      </c>
      <c r="AJ13" s="283"/>
      <c r="AK13" s="46"/>
      <c r="AL13" s="116"/>
      <c r="AM13" s="122" t="str">
        <f>CONCATENATE(ROUND(Loads!AL10,2)," kg/ha/yr")</f>
        <v>0.54 kg/ha/yr</v>
      </c>
      <c r="AN13" s="132" t="s">
        <v>164</v>
      </c>
      <c r="AO13" s="46"/>
      <c r="AR13" s="42"/>
      <c r="AS13" s="43"/>
      <c r="AT13" s="45"/>
      <c r="AU13" s="46"/>
      <c r="AV13" s="118" t="s">
        <v>558</v>
      </c>
      <c r="AW13" s="119" t="s">
        <v>611</v>
      </c>
      <c r="AX13" s="44"/>
      <c r="BB13" s="42"/>
      <c r="BC13" s="282" t="str">
        <f>CONCATENATE("Net N sink (Inputs other than fixation - output)=                                                        "," + ",ROUND(BC17,2)," kg/ha/yr","     (",ROUND(BC17/BC16*100,0),"% of inputs other than N fixation)")</f>
        <v>Net N sink (Inputs other than fixation - output)=                                                         + 0.48 kg/ha/yr     (15% of inputs other than N fixation)</v>
      </c>
      <c r="BD13" s="283"/>
      <c r="BE13" s="46"/>
      <c r="BF13" s="116"/>
      <c r="BG13" s="122" t="str">
        <f>CONCATENATE(1000*ROUND(SUM(Flow_wt_each_stream!V5,Flow_wt_each_stream!V37,Flow_wt_each_stream!V43,Flow_wt_each_stream!V32)/(1/10000*SUM(Flow_wt_each_stream!AJ5,Flow_wt_each_stream!AI32,Flow_wt_each_stream!AI37,Flow_wt_each_stream!AI43)),5),," kg/ha/yr")</f>
        <v>0.82 kg/ha/yr</v>
      </c>
      <c r="BH13" s="132" t="s">
        <v>164</v>
      </c>
    </row>
    <row r="14" spans="3:60" ht="45" customHeight="1" thickBot="1" thickTop="1">
      <c r="C14" s="42"/>
      <c r="D14" s="43">
        <f>D12/D13</f>
        <v>17.071001320507165</v>
      </c>
      <c r="E14" s="45" t="s">
        <v>635</v>
      </c>
      <c r="F14" s="55"/>
      <c r="G14" s="120"/>
      <c r="H14" s="120"/>
      <c r="I14" s="44"/>
      <c r="M14" s="42"/>
      <c r="N14" s="284"/>
      <c r="O14" s="285"/>
      <c r="P14" s="43"/>
      <c r="Q14" s="116"/>
      <c r="R14" s="122" t="str">
        <f>CONCATENATE(ROUND((Loads!AL22+Loads!AL32),2)," kg/ha/yr")</f>
        <v>1.12 kg/ha/yr</v>
      </c>
      <c r="S14" s="117" t="s">
        <v>612</v>
      </c>
      <c r="T14" s="44"/>
      <c r="X14" s="42"/>
      <c r="Y14" s="43"/>
      <c r="Z14" s="43"/>
      <c r="AA14" s="46"/>
      <c r="AB14" s="46"/>
      <c r="AC14" s="46"/>
      <c r="AD14" s="44"/>
      <c r="AH14" s="42"/>
      <c r="AI14" s="284"/>
      <c r="AJ14" s="285"/>
      <c r="AK14" s="43"/>
      <c r="AL14" s="116"/>
      <c r="AM14" s="122" t="str">
        <f>CONCATENATE(ROUND((Loads!AL20+Loads!AL30),2)," kg/ha/yr")</f>
        <v>1.49 kg/ha/yr</v>
      </c>
      <c r="AN14" s="132" t="s">
        <v>612</v>
      </c>
      <c r="AO14" s="46"/>
      <c r="AR14" s="42"/>
      <c r="AS14" s="46"/>
      <c r="AT14" s="45"/>
      <c r="AU14" s="46"/>
      <c r="AV14" s="46"/>
      <c r="AW14" s="46"/>
      <c r="AX14" s="44"/>
      <c r="BB14" s="42"/>
      <c r="BC14" s="284"/>
      <c r="BD14" s="285"/>
      <c r="BE14" s="43"/>
      <c r="BF14" s="116"/>
      <c r="BG14" s="122" t="str">
        <f>CONCATENATE(1000*ROUND(SUM(Flow_wt_each_stream!X5,Flow_wt_each_stream!X37,Flow_wt_each_stream!X43,Flow_wt_each_stream!X32,Flow_wt_each_stream!Z5,Flow_wt_each_stream!Z37,Flow_wt_each_stream!Z43,Flow_wt_each_stream!Z32)/(1/10000*SUM(Flow_wt_each_stream!AI5,Flow_wt_each_stream!AI32,Flow_wt_each_stream!AI37,Flow_wt_each_stream!AI43)),5),," kg/ha/yr")</f>
        <v>1.84 kg/ha/yr</v>
      </c>
      <c r="BH14" s="132" t="s">
        <v>612</v>
      </c>
    </row>
    <row r="15" spans="1:60" ht="34.5" customHeight="1" thickTop="1">
      <c r="A15" s="113"/>
      <c r="C15" s="42"/>
      <c r="D15" s="43"/>
      <c r="E15" s="45"/>
      <c r="F15" s="55"/>
      <c r="G15" s="120"/>
      <c r="H15" s="120"/>
      <c r="I15" s="44"/>
      <c r="M15" s="42"/>
      <c r="N15" s="43"/>
      <c r="O15" s="45"/>
      <c r="P15" s="43"/>
      <c r="Q15" s="116"/>
      <c r="R15" s="122" t="str">
        <f>CONCATENATE(ROUND(Loads!AL27,1)," kg/ha/yr")</f>
        <v>0.1 kg/ha/yr</v>
      </c>
      <c r="S15" s="117" t="s">
        <v>145</v>
      </c>
      <c r="T15" s="44"/>
      <c r="X15" s="42"/>
      <c r="Y15" s="43"/>
      <c r="Z15" s="45"/>
      <c r="AA15" s="46"/>
      <c r="AB15" s="46"/>
      <c r="AC15" s="46"/>
      <c r="AD15" s="44"/>
      <c r="AH15" s="42"/>
      <c r="AI15" s="46"/>
      <c r="AJ15" s="46"/>
      <c r="AK15" s="43"/>
      <c r="AL15" s="116"/>
      <c r="AM15" s="122" t="str">
        <f>CONCATENATE(ROUND(Loads!AL25,3)," kg/ha/yr")</f>
        <v>0.095 kg/ha/yr</v>
      </c>
      <c r="AN15" s="132" t="s">
        <v>145</v>
      </c>
      <c r="AO15" s="46"/>
      <c r="AR15" s="42"/>
      <c r="AS15" s="43"/>
      <c r="AT15" s="45"/>
      <c r="AU15" s="46"/>
      <c r="AV15" s="46"/>
      <c r="AW15" s="46"/>
      <c r="AX15" s="44"/>
      <c r="BB15" s="42"/>
      <c r="BC15" s="46"/>
      <c r="BD15" s="46"/>
      <c r="BE15" s="43"/>
      <c r="BF15" s="116"/>
      <c r="BG15" s="122" t="str">
        <f>CONCATENATE(1000*ROUND(SUM(Flow_wt_each_stream!Y5,Flow_wt_each_stream!Y37,Flow_wt_each_stream!Y43,Flow_wt_each_stream!Y32)/(1/10000*SUM(Flow_wt_each_stream!AI5,Flow_wt_each_stream!AI32,Flow_wt_each_stream!AI37,Flow_wt_each_stream!AI43)),5),," kg/ha/yr")</f>
        <v>0.11 kg/ha/yr</v>
      </c>
      <c r="BH15" s="132" t="s">
        <v>145</v>
      </c>
    </row>
    <row r="16" spans="3:60" ht="24" customHeight="1" thickBot="1">
      <c r="C16" s="42"/>
      <c r="D16" s="43"/>
      <c r="E16" s="45"/>
      <c r="F16" s="55"/>
      <c r="G16" s="120"/>
      <c r="H16" s="55"/>
      <c r="I16" s="44"/>
      <c r="M16" s="42"/>
      <c r="N16" s="207">
        <f>rainwater_summary!E217</f>
        <v>1.3017715079426866</v>
      </c>
      <c r="O16" s="208">
        <f>Pop_landcover_effects_on_DIN!AE46</f>
        <v>0.6469467494883534</v>
      </c>
      <c r="P16" s="46"/>
      <c r="Q16" s="126"/>
      <c r="R16" s="123"/>
      <c r="S16" s="119"/>
      <c r="T16" s="44"/>
      <c r="X16" s="42"/>
      <c r="Y16" s="43"/>
      <c r="Z16" s="45"/>
      <c r="AA16" s="46"/>
      <c r="AB16" s="46"/>
      <c r="AC16" s="46"/>
      <c r="AD16" s="44"/>
      <c r="AH16" s="42"/>
      <c r="AI16" s="207">
        <f>rainwater_summary!E217</f>
        <v>1.3017715079426866</v>
      </c>
      <c r="AJ16" s="208">
        <f>Pop_landcover_effects_on_DIN!AB46</f>
        <v>1.1309272636551382</v>
      </c>
      <c r="AK16" s="46"/>
      <c r="AL16" s="126"/>
      <c r="AM16" s="123"/>
      <c r="AN16" s="133"/>
      <c r="AO16" s="46"/>
      <c r="AR16" s="42"/>
      <c r="AS16" s="43"/>
      <c r="AT16" s="45"/>
      <c r="AU16" s="46"/>
      <c r="AV16" s="46"/>
      <c r="AW16" s="46"/>
      <c r="AX16" s="44"/>
      <c r="BB16" s="42"/>
      <c r="BC16" s="210">
        <f>rainwater_summary!E217+AVERAGE(Pop_landcover_effects_on_DIN!Y4,Pop_landcover_effects_on_DIN!Y31,Pop_landcover_effects_on_DIN!Y36,Pop_landcover_effects_on_DIN!Y42)</f>
        <v>3.1054329001797014</v>
      </c>
      <c r="BD16" s="208">
        <f>1000*SUM(Flow_wt_each_stream!W5,Flow_wt_each_stream!W37,Flow_wt_each_stream!W43,Flow_wt_each_stream!W32)/(1/10000*SUM(Flow_wt_each_stream!AI5,Flow_wt_each_stream!AI32,Flow_wt_each_stream!AI37,Flow_wt_each_stream!AI43))-BF16</f>
        <v>2.6273240303656955</v>
      </c>
      <c r="BE16" s="46"/>
      <c r="BF16" s="126"/>
      <c r="BG16" s="123"/>
      <c r="BH16" s="133"/>
    </row>
    <row r="17" spans="3:60" ht="14.25" thickTop="1">
      <c r="C17" s="47"/>
      <c r="D17" s="48"/>
      <c r="E17" s="49"/>
      <c r="F17" s="48"/>
      <c r="G17" s="48"/>
      <c r="H17" s="48"/>
      <c r="I17" s="50"/>
      <c r="M17" s="42"/>
      <c r="N17" s="208">
        <f>(N16+O16)-Loads!AL17</f>
        <v>0.0008018279609980361</v>
      </c>
      <c r="O17" s="209">
        <f>1.95/1.37</f>
        <v>1.4233576642335766</v>
      </c>
      <c r="P17" s="46"/>
      <c r="Q17" s="124"/>
      <c r="R17" s="124"/>
      <c r="S17" s="125"/>
      <c r="T17" s="44"/>
      <c r="X17" s="47"/>
      <c r="Y17" s="48"/>
      <c r="Z17" s="49"/>
      <c r="AA17" s="48"/>
      <c r="AB17" s="48"/>
      <c r="AC17" s="48"/>
      <c r="AD17" s="50"/>
      <c r="AH17" s="42"/>
      <c r="AI17" s="208">
        <f>AI16+AJ16-Loads!AL15</f>
        <v>0.3162765556069833</v>
      </c>
      <c r="AJ17" s="209">
        <f>2.12/1.87</f>
        <v>1.1336898395721926</v>
      </c>
      <c r="AK17" s="46"/>
      <c r="AL17" s="124"/>
      <c r="AM17" s="124"/>
      <c r="AN17" s="127"/>
      <c r="AO17" s="46"/>
      <c r="AR17" s="47"/>
      <c r="AS17" s="48"/>
      <c r="AT17" s="49"/>
      <c r="AU17" s="48"/>
      <c r="AV17" s="48"/>
      <c r="AW17" s="48"/>
      <c r="AX17" s="50"/>
      <c r="BB17" s="42"/>
      <c r="BC17" s="208">
        <f>BC16-BD16</f>
        <v>0.4781088698140059</v>
      </c>
      <c r="BD17" s="209">
        <f>2.63/1.87</f>
        <v>1.406417112299465</v>
      </c>
      <c r="BE17" s="46"/>
      <c r="BF17" s="124"/>
      <c r="BG17" s="124"/>
      <c r="BH17" s="127"/>
    </row>
    <row r="18" spans="13:60" ht="20.25" customHeight="1">
      <c r="M18" s="47"/>
      <c r="N18" s="110"/>
      <c r="O18" s="111"/>
      <c r="P18" s="110"/>
      <c r="Q18" s="205"/>
      <c r="R18" s="205"/>
      <c r="S18" s="205"/>
      <c r="T18" s="50"/>
      <c r="Z18" s="26"/>
      <c r="AH18" s="47"/>
      <c r="AI18" s="110"/>
      <c r="AJ18" s="111"/>
      <c r="AK18" s="110"/>
      <c r="AL18" s="110"/>
      <c r="AM18" s="110"/>
      <c r="AN18" s="50"/>
      <c r="AO18" s="46"/>
      <c r="AT18" s="26"/>
      <c r="BB18" s="47"/>
      <c r="BC18" s="110"/>
      <c r="BD18" s="139"/>
      <c r="BE18" s="110"/>
      <c r="BF18" s="110"/>
      <c r="BG18" s="110"/>
      <c r="BH18" s="50"/>
    </row>
    <row r="19" spans="4:46" ht="12.75" customHeight="1">
      <c r="D19" s="1" t="s">
        <v>614</v>
      </c>
      <c r="Y19" s="1" t="s">
        <v>614</v>
      </c>
      <c r="Z19" s="26"/>
      <c r="AS19" s="1" t="s">
        <v>614</v>
      </c>
      <c r="AT19" s="26"/>
    </row>
    <row r="20" spans="4:56" ht="12.75" customHeight="1">
      <c r="D20" s="277" t="s">
        <v>291</v>
      </c>
      <c r="E20" s="278"/>
      <c r="F20" s="278"/>
      <c r="G20" s="278"/>
      <c r="H20" s="278"/>
      <c r="N20" s="1" t="s">
        <v>614</v>
      </c>
      <c r="O20" s="26"/>
      <c r="Y20" s="277" t="s">
        <v>291</v>
      </c>
      <c r="Z20" s="278"/>
      <c r="AA20" s="278"/>
      <c r="AB20" s="278"/>
      <c r="AC20" s="278"/>
      <c r="AI20" s="1" t="s">
        <v>614</v>
      </c>
      <c r="AJ20" s="26"/>
      <c r="AS20" s="277" t="s">
        <v>291</v>
      </c>
      <c r="AT20" s="278"/>
      <c r="AU20" s="278"/>
      <c r="AV20" s="278"/>
      <c r="AW20" s="278"/>
      <c r="BC20" s="1" t="s">
        <v>614</v>
      </c>
      <c r="BD20" s="26"/>
    </row>
    <row r="21" spans="4:59" ht="17.25" customHeight="1">
      <c r="D21" s="278"/>
      <c r="E21" s="278"/>
      <c r="F21" s="278"/>
      <c r="G21" s="278"/>
      <c r="H21" s="278"/>
      <c r="N21" s="277"/>
      <c r="O21" s="279"/>
      <c r="P21" s="279"/>
      <c r="Q21" s="279"/>
      <c r="R21" s="279"/>
      <c r="S21" s="279"/>
      <c r="Y21" s="278"/>
      <c r="Z21" s="278"/>
      <c r="AA21" s="278"/>
      <c r="AB21" s="278"/>
      <c r="AC21" s="278"/>
      <c r="AI21" s="286" t="s">
        <v>758</v>
      </c>
      <c r="AJ21" s="278"/>
      <c r="AK21" s="278"/>
      <c r="AL21" s="278"/>
      <c r="AM21" s="278"/>
      <c r="AS21" s="278"/>
      <c r="AT21" s="278"/>
      <c r="AU21" s="278"/>
      <c r="AV21" s="278"/>
      <c r="AW21" s="278"/>
      <c r="BC21" s="277" t="s">
        <v>602</v>
      </c>
      <c r="BD21" s="279"/>
      <c r="BE21" s="279"/>
      <c r="BF21" s="279"/>
      <c r="BG21" s="279"/>
    </row>
    <row r="22" spans="4:59" ht="48.75" customHeight="1">
      <c r="D22" s="277" t="s">
        <v>287</v>
      </c>
      <c r="E22" s="278"/>
      <c r="F22" s="278"/>
      <c r="G22" s="278"/>
      <c r="H22" s="278"/>
      <c r="N22" s="279"/>
      <c r="O22" s="279"/>
      <c r="P22" s="279"/>
      <c r="Q22" s="279"/>
      <c r="R22" s="279"/>
      <c r="S22" s="279"/>
      <c r="Y22" s="277" t="s">
        <v>287</v>
      </c>
      <c r="Z22" s="278"/>
      <c r="AA22" s="278"/>
      <c r="AB22" s="278"/>
      <c r="AC22" s="278"/>
      <c r="AI22" s="278"/>
      <c r="AJ22" s="278"/>
      <c r="AK22" s="278"/>
      <c r="AL22" s="278"/>
      <c r="AM22" s="278"/>
      <c r="AS22" s="277" t="s">
        <v>287</v>
      </c>
      <c r="AT22" s="278"/>
      <c r="AU22" s="278"/>
      <c r="AV22" s="278"/>
      <c r="AW22" s="278"/>
      <c r="BC22" s="279"/>
      <c r="BD22" s="279"/>
      <c r="BE22" s="279"/>
      <c r="BF22" s="279"/>
      <c r="BG22" s="279"/>
    </row>
    <row r="23" spans="4:59" ht="51" customHeight="1">
      <c r="D23" s="278"/>
      <c r="E23" s="278"/>
      <c r="F23" s="278"/>
      <c r="G23" s="278"/>
      <c r="H23" s="278"/>
      <c r="N23" s="277" t="s">
        <v>602</v>
      </c>
      <c r="O23" s="279"/>
      <c r="P23" s="279"/>
      <c r="Q23" s="279"/>
      <c r="R23" s="279"/>
      <c r="S23" s="279"/>
      <c r="Y23" s="278"/>
      <c r="Z23" s="278"/>
      <c r="AA23" s="278"/>
      <c r="AB23" s="278"/>
      <c r="AC23" s="278"/>
      <c r="AI23" s="286" t="s">
        <v>759</v>
      </c>
      <c r="AJ23" s="278"/>
      <c r="AK23" s="278"/>
      <c r="AL23" s="278"/>
      <c r="AM23" s="278"/>
      <c r="AS23" s="278"/>
      <c r="AT23" s="278"/>
      <c r="AU23" s="278"/>
      <c r="AV23" s="278"/>
      <c r="AW23" s="278"/>
      <c r="BC23" s="279"/>
      <c r="BD23" s="279"/>
      <c r="BE23" s="279"/>
      <c r="BF23" s="279"/>
      <c r="BG23" s="279"/>
    </row>
    <row r="24" spans="14:59" ht="12.75" customHeight="1">
      <c r="N24" s="277" t="s">
        <v>608</v>
      </c>
      <c r="O24" s="278"/>
      <c r="P24" s="278"/>
      <c r="Q24" s="278"/>
      <c r="R24" s="278"/>
      <c r="S24" s="278"/>
      <c r="Z24" s="26"/>
      <c r="AI24" s="277"/>
      <c r="AJ24" s="278"/>
      <c r="AK24" s="278"/>
      <c r="AL24" s="278"/>
      <c r="AM24" s="278"/>
      <c r="AT24" s="26"/>
      <c r="BC24" s="277" t="s">
        <v>609</v>
      </c>
      <c r="BD24" s="279"/>
      <c r="BE24" s="279"/>
      <c r="BF24" s="279"/>
      <c r="BG24" s="279"/>
    </row>
    <row r="25" spans="14:59" ht="35.25" customHeight="1">
      <c r="N25" s="279"/>
      <c r="O25" s="279"/>
      <c r="P25" s="279"/>
      <c r="Q25" s="279"/>
      <c r="R25" s="279"/>
      <c r="S25" s="279"/>
      <c r="AI25" s="279"/>
      <c r="AJ25" s="279"/>
      <c r="AK25" s="279"/>
      <c r="AL25" s="279"/>
      <c r="AM25" s="279"/>
      <c r="BC25" s="279"/>
      <c r="BD25" s="279"/>
      <c r="BE25" s="279"/>
      <c r="BF25" s="279"/>
      <c r="BG25" s="279"/>
    </row>
    <row r="27" ht="12.75">
      <c r="G27">
        <f>(204886)/(11.5+15.4)</f>
        <v>7616.579925650558</v>
      </c>
    </row>
  </sheetData>
  <mergeCells count="32">
    <mergeCell ref="BC21:BG23"/>
    <mergeCell ref="BC24:BG25"/>
    <mergeCell ref="BC13:BD14"/>
    <mergeCell ref="AI6:AN6"/>
    <mergeCell ref="AL11:AN11"/>
    <mergeCell ref="N6:T6"/>
    <mergeCell ref="BF12:BG12"/>
    <mergeCell ref="AS20:AW21"/>
    <mergeCell ref="AS22:AW23"/>
    <mergeCell ref="AS6:AW6"/>
    <mergeCell ref="BC6:BH6"/>
    <mergeCell ref="BG10:BH10"/>
    <mergeCell ref="BF9:BG9"/>
    <mergeCell ref="BF11:BH11"/>
    <mergeCell ref="AL9:AM9"/>
    <mergeCell ref="D22:H23"/>
    <mergeCell ref="N21:S22"/>
    <mergeCell ref="N23:S23"/>
    <mergeCell ref="Y6:AC6"/>
    <mergeCell ref="Y20:AC21"/>
    <mergeCell ref="Y22:AC23"/>
    <mergeCell ref="D6:H6"/>
    <mergeCell ref="D20:H21"/>
    <mergeCell ref="R9:S9"/>
    <mergeCell ref="Q11:S11"/>
    <mergeCell ref="N24:S25"/>
    <mergeCell ref="AI24:AM25"/>
    <mergeCell ref="AL12:AM12"/>
    <mergeCell ref="AI13:AJ14"/>
    <mergeCell ref="N13:O14"/>
    <mergeCell ref="AI23:AM23"/>
    <mergeCell ref="AI21:AM22"/>
  </mergeCells>
  <printOptions/>
  <pageMargins left="0.75" right="0.75" top="1" bottom="1" header="0.5" footer="0.5"/>
  <pageSetup horizontalDpi="300" verticalDpi="300" orientation="landscape" scale="58" r:id="rId2"/>
  <colBreaks count="6" manualBreakCount="6">
    <brk id="1" max="65535" man="1"/>
    <brk id="11" max="24" man="1"/>
    <brk id="21" max="24" man="1"/>
    <brk id="31" max="24" man="1"/>
    <brk id="42" max="24" man="1"/>
    <brk id="51" max="24" man="1"/>
  </colBreaks>
  <drawing r:id="rId1"/>
</worksheet>
</file>

<file path=xl/worksheets/sheet13.xml><?xml version="1.0" encoding="utf-8"?>
<worksheet xmlns="http://schemas.openxmlformats.org/spreadsheetml/2006/main" xmlns:r="http://schemas.openxmlformats.org/officeDocument/2006/relationships">
  <dimension ref="A1:FN118"/>
  <sheetViews>
    <sheetView zoomScale="75" zoomScaleNormal="75" workbookViewId="0" topLeftCell="A1">
      <pane xSplit="4416" ySplit="3984" topLeftCell="DD18" activePane="bottomRight" state="split"/>
      <selection pane="topLeft" activeCell="A1" sqref="A1"/>
      <selection pane="topRight" activeCell="DO1" sqref="DO1:DO16384"/>
      <selection pane="bottomLeft" activeCell="A12" sqref="A12"/>
      <selection pane="bottomRight" activeCell="DE20" sqref="DE20"/>
    </sheetView>
  </sheetViews>
  <sheetFormatPr defaultColWidth="9.140625" defaultRowHeight="12.75"/>
  <cols>
    <col min="1" max="1" width="6.8515625" style="0" customWidth="1"/>
    <col min="2" max="2" width="25.140625" style="0" customWidth="1"/>
    <col min="3" max="70" width="9.140625" style="0" customWidth="1"/>
    <col min="71" max="71" width="13.140625" style="0" customWidth="1"/>
    <col min="72" max="72" width="12.7109375" style="0" customWidth="1"/>
    <col min="73" max="73" width="12.28125" style="97" customWidth="1"/>
    <col min="74" max="74" width="9.00390625" style="97" bestFit="1" customWidth="1"/>
    <col min="75" max="81" width="8.8515625" style="0" hidden="1" customWidth="1"/>
    <col min="82" max="82" width="6.140625" style="0" hidden="1" customWidth="1"/>
    <col min="91" max="94" width="9.140625" style="0" customWidth="1"/>
    <col min="95" max="95" width="11.8515625" style="0" customWidth="1"/>
    <col min="96" max="103" width="9.140625" style="0" customWidth="1"/>
    <col min="104" max="104" width="18.421875" style="0" bestFit="1" customWidth="1"/>
    <col min="105" max="105" width="21.7109375" style="0" customWidth="1"/>
    <col min="106" max="106" width="13.7109375" style="0" bestFit="1" customWidth="1"/>
    <col min="107" max="107" width="14.7109375" style="0" bestFit="1" customWidth="1"/>
    <col min="108" max="108" width="12.00390625" style="0" bestFit="1" customWidth="1"/>
    <col min="109" max="109" width="13.7109375" style="0" bestFit="1" customWidth="1"/>
    <col min="110" max="110" width="15.140625" style="0" bestFit="1" customWidth="1"/>
    <col min="111" max="111" width="13.7109375" style="0" bestFit="1" customWidth="1"/>
    <col min="112" max="112" width="15.7109375" style="0" bestFit="1" customWidth="1"/>
    <col min="113" max="113" width="14.7109375" style="0" bestFit="1" customWidth="1"/>
    <col min="114" max="114" width="13.7109375" style="0" bestFit="1" customWidth="1"/>
    <col min="115" max="115" width="16.140625" style="0" bestFit="1" customWidth="1"/>
    <col min="116" max="116" width="14.7109375" style="0" bestFit="1" customWidth="1"/>
    <col min="117" max="117" width="13.7109375" style="0" bestFit="1" customWidth="1"/>
    <col min="118" max="118" width="15.7109375" style="0" bestFit="1" customWidth="1"/>
    <col min="119" max="119" width="15.140625" style="0" bestFit="1" customWidth="1"/>
    <col min="120" max="120" width="14.00390625" style="0" bestFit="1" customWidth="1"/>
    <col min="121" max="121" width="10.8515625" style="0" customWidth="1"/>
    <col min="122" max="123" width="13.7109375" style="0" bestFit="1" customWidth="1"/>
    <col min="124" max="124" width="14.7109375" style="0" bestFit="1" customWidth="1"/>
    <col min="125" max="125" width="11.7109375" style="0" bestFit="1" customWidth="1"/>
    <col min="126" max="126" width="12.8515625" style="0" bestFit="1" customWidth="1"/>
    <col min="127" max="127" width="14.7109375" style="0" bestFit="1" customWidth="1"/>
    <col min="129" max="129" width="8.8515625" style="59" customWidth="1"/>
    <col min="130" max="130" width="15.28125" style="0" customWidth="1"/>
    <col min="131" max="131" width="13.7109375" style="0" customWidth="1"/>
    <col min="132" max="132" width="14.421875" style="0" customWidth="1"/>
    <col min="133" max="133" width="11.8515625" style="0" customWidth="1"/>
    <col min="135" max="135" width="10.57421875" style="0" customWidth="1"/>
    <col min="136" max="136" width="10.28125" style="0" bestFit="1" customWidth="1"/>
    <col min="137" max="137" width="12.00390625" style="0" bestFit="1" customWidth="1"/>
    <col min="138" max="138" width="10.7109375" style="0" bestFit="1" customWidth="1"/>
    <col min="139" max="139" width="9.00390625" style="0" bestFit="1" customWidth="1"/>
    <col min="140" max="140" width="10.7109375" style="0" bestFit="1" customWidth="1"/>
    <col min="141" max="141" width="11.28125" style="0" bestFit="1" customWidth="1"/>
    <col min="142" max="142" width="10.28125" style="0" bestFit="1" customWidth="1"/>
  </cols>
  <sheetData>
    <row r="1" spans="3:142" ht="254.25" customHeight="1">
      <c r="C1" s="51" t="s">
        <v>292</v>
      </c>
      <c r="D1" s="51" t="s">
        <v>293</v>
      </c>
      <c r="E1" s="51" t="s">
        <v>294</v>
      </c>
      <c r="F1" s="51" t="s">
        <v>295</v>
      </c>
      <c r="G1" s="51" t="s">
        <v>296</v>
      </c>
      <c r="H1" s="51" t="s">
        <v>297</v>
      </c>
      <c r="I1" s="51" t="s">
        <v>298</v>
      </c>
      <c r="J1" s="51" t="s">
        <v>299</v>
      </c>
      <c r="K1" s="51" t="s">
        <v>300</v>
      </c>
      <c r="L1" s="51" t="s">
        <v>301</v>
      </c>
      <c r="M1" s="51" t="s">
        <v>302</v>
      </c>
      <c r="N1" s="51" t="s">
        <v>303</v>
      </c>
      <c r="O1" s="51" t="s">
        <v>304</v>
      </c>
      <c r="P1" s="51" t="s">
        <v>305</v>
      </c>
      <c r="Q1" s="51" t="s">
        <v>306</v>
      </c>
      <c r="R1" s="51" t="s">
        <v>307</v>
      </c>
      <c r="S1" s="51" t="s">
        <v>308</v>
      </c>
      <c r="T1" s="51" t="s">
        <v>309</v>
      </c>
      <c r="U1" s="51" t="s">
        <v>310</v>
      </c>
      <c r="V1" s="51" t="s">
        <v>311</v>
      </c>
      <c r="W1" s="51" t="s">
        <v>312</v>
      </c>
      <c r="X1" s="51" t="s">
        <v>313</v>
      </c>
      <c r="Y1" s="51" t="s">
        <v>314</v>
      </c>
      <c r="Z1" s="51" t="s">
        <v>315</v>
      </c>
      <c r="AA1" s="51" t="s">
        <v>316</v>
      </c>
      <c r="AB1" s="51" t="s">
        <v>317</v>
      </c>
      <c r="AC1" s="51" t="s">
        <v>318</v>
      </c>
      <c r="AD1" s="51" t="s">
        <v>319</v>
      </c>
      <c r="AE1" s="51" t="s">
        <v>320</v>
      </c>
      <c r="AF1" s="51" t="s">
        <v>321</v>
      </c>
      <c r="AG1" s="51" t="s">
        <v>322</v>
      </c>
      <c r="AH1" s="51" t="s">
        <v>323</v>
      </c>
      <c r="AI1" s="51" t="s">
        <v>324</v>
      </c>
      <c r="AJ1" s="51" t="s">
        <v>325</v>
      </c>
      <c r="AK1" s="51" t="s">
        <v>326</v>
      </c>
      <c r="AL1" s="51" t="s">
        <v>327</v>
      </c>
      <c r="AM1" s="51" t="s">
        <v>328</v>
      </c>
      <c r="AN1" s="51" t="s">
        <v>329</v>
      </c>
      <c r="AO1" s="51" t="s">
        <v>330</v>
      </c>
      <c r="AP1" s="51" t="s">
        <v>331</v>
      </c>
      <c r="AQ1" s="51" t="s">
        <v>332</v>
      </c>
      <c r="AR1" s="51" t="s">
        <v>333</v>
      </c>
      <c r="AS1" s="51" t="s">
        <v>334</v>
      </c>
      <c r="AT1" s="51" t="s">
        <v>335</v>
      </c>
      <c r="AU1" s="51" t="s">
        <v>336</v>
      </c>
      <c r="AV1" s="51" t="s">
        <v>337</v>
      </c>
      <c r="AW1" s="51" t="s">
        <v>338</v>
      </c>
      <c r="AX1" s="51" t="s">
        <v>339</v>
      </c>
      <c r="AY1" s="51" t="s">
        <v>340</v>
      </c>
      <c r="AZ1" s="51" t="s">
        <v>341</v>
      </c>
      <c r="BA1" s="51" t="s">
        <v>342</v>
      </c>
      <c r="BB1" s="51" t="s">
        <v>343</v>
      </c>
      <c r="BC1" s="51" t="s">
        <v>344</v>
      </c>
      <c r="BD1" s="51" t="s">
        <v>345</v>
      </c>
      <c r="BE1" s="51" t="s">
        <v>346</v>
      </c>
      <c r="BF1" s="51" t="s">
        <v>347</v>
      </c>
      <c r="BG1" s="51" t="s">
        <v>348</v>
      </c>
      <c r="BH1" s="51" t="s">
        <v>349</v>
      </c>
      <c r="BI1" s="51" t="s">
        <v>350</v>
      </c>
      <c r="BJ1" s="51" t="s">
        <v>351</v>
      </c>
      <c r="BK1" s="51" t="s">
        <v>352</v>
      </c>
      <c r="BL1" s="51" t="s">
        <v>353</v>
      </c>
      <c r="BM1" s="51" t="s">
        <v>354</v>
      </c>
      <c r="BN1" s="51" t="s">
        <v>355</v>
      </c>
      <c r="BO1" s="51" t="s">
        <v>356</v>
      </c>
      <c r="BP1" s="51" t="s">
        <v>357</v>
      </c>
      <c r="BQ1" s="51" t="s">
        <v>358</v>
      </c>
      <c r="BR1" s="51" t="s">
        <v>359</v>
      </c>
      <c r="BS1" s="51" t="s">
        <v>360</v>
      </c>
      <c r="BT1" s="51" t="s">
        <v>361</v>
      </c>
      <c r="BU1" s="52" t="s">
        <v>362</v>
      </c>
      <c r="BV1" s="53" t="s">
        <v>363</v>
      </c>
      <c r="BW1" s="51" t="s">
        <v>364</v>
      </c>
      <c r="BX1" s="51" t="s">
        <v>365</v>
      </c>
      <c r="BY1" s="51" t="s">
        <v>366</v>
      </c>
      <c r="BZ1" s="51" t="s">
        <v>367</v>
      </c>
      <c r="CA1" s="51" t="s">
        <v>368</v>
      </c>
      <c r="CB1" s="51" t="s">
        <v>369</v>
      </c>
      <c r="CC1" s="51" t="s">
        <v>370</v>
      </c>
      <c r="CD1" s="51" t="s">
        <v>371</v>
      </c>
      <c r="CE1" s="51" t="s">
        <v>372</v>
      </c>
      <c r="CF1" s="51" t="s">
        <v>373</v>
      </c>
      <c r="CG1" s="51" t="s">
        <v>374</v>
      </c>
      <c r="CH1" s="51" t="s">
        <v>375</v>
      </c>
      <c r="CI1" s="51" t="s">
        <v>376</v>
      </c>
      <c r="CJ1" s="51" t="s">
        <v>377</v>
      </c>
      <c r="CK1" s="51" t="s">
        <v>378</v>
      </c>
      <c r="CL1" s="51" t="s">
        <v>379</v>
      </c>
      <c r="CM1" s="52" t="s">
        <v>380</v>
      </c>
      <c r="CN1" s="51" t="s">
        <v>381</v>
      </c>
      <c r="CO1" s="51" t="s">
        <v>382</v>
      </c>
      <c r="CP1" s="51" t="s">
        <v>383</v>
      </c>
      <c r="CQ1" s="51" t="s">
        <v>384</v>
      </c>
      <c r="CR1" s="51" t="s">
        <v>385</v>
      </c>
      <c r="CS1" s="51" t="s">
        <v>386</v>
      </c>
      <c r="CT1" s="51" t="s">
        <v>387</v>
      </c>
      <c r="CU1" s="51" t="s">
        <v>388</v>
      </c>
      <c r="CV1" s="51" t="s">
        <v>389</v>
      </c>
      <c r="CW1" s="51" t="s">
        <v>390</v>
      </c>
      <c r="CX1" s="53" t="s">
        <v>391</v>
      </c>
      <c r="CY1" s="53" t="s">
        <v>392</v>
      </c>
      <c r="CZ1" s="51" t="s">
        <v>393</v>
      </c>
      <c r="DA1" s="51" t="s">
        <v>394</v>
      </c>
      <c r="DB1" s="51" t="s">
        <v>395</v>
      </c>
      <c r="DC1" s="51" t="s">
        <v>396</v>
      </c>
      <c r="DD1" s="51" t="s">
        <v>397</v>
      </c>
      <c r="DE1" s="51" t="s">
        <v>398</v>
      </c>
      <c r="DF1" s="51" t="s">
        <v>399</v>
      </c>
      <c r="DG1" s="53" t="s">
        <v>400</v>
      </c>
      <c r="DH1" s="51" t="s">
        <v>401</v>
      </c>
      <c r="DI1" s="51" t="s">
        <v>402</v>
      </c>
      <c r="DJ1" s="51" t="s">
        <v>403</v>
      </c>
      <c r="DK1" s="51" t="s">
        <v>404</v>
      </c>
      <c r="DL1" s="51" t="s">
        <v>405</v>
      </c>
      <c r="DM1" s="51" t="s">
        <v>406</v>
      </c>
      <c r="DN1" s="51" t="s">
        <v>407</v>
      </c>
      <c r="DO1" s="51" t="s">
        <v>408</v>
      </c>
      <c r="DP1" s="51" t="s">
        <v>409</v>
      </c>
      <c r="DQ1" s="51" t="s">
        <v>410</v>
      </c>
      <c r="DR1" s="53" t="s">
        <v>411</v>
      </c>
      <c r="DS1" s="53" t="s">
        <v>412</v>
      </c>
      <c r="DT1" s="53" t="s">
        <v>413</v>
      </c>
      <c r="DU1" s="53" t="s">
        <v>414</v>
      </c>
      <c r="DV1" s="53" t="s">
        <v>415</v>
      </c>
      <c r="DW1" s="53" t="s">
        <v>416</v>
      </c>
      <c r="DX1" s="53" t="s">
        <v>417</v>
      </c>
      <c r="DY1" s="54" t="s">
        <v>418</v>
      </c>
      <c r="DZ1" s="53" t="s">
        <v>537</v>
      </c>
      <c r="EA1" s="53" t="s">
        <v>538</v>
      </c>
      <c r="EB1" s="53" t="s">
        <v>539</v>
      </c>
      <c r="EC1" s="53" t="s">
        <v>540</v>
      </c>
      <c r="ED1" s="53" t="s">
        <v>419</v>
      </c>
      <c r="EE1" s="53" t="s">
        <v>541</v>
      </c>
      <c r="EF1" s="53" t="s">
        <v>542</v>
      </c>
      <c r="EG1" s="53" t="s">
        <v>543</v>
      </c>
      <c r="EH1" s="53" t="s">
        <v>544</v>
      </c>
      <c r="EI1" s="53" t="s">
        <v>547</v>
      </c>
      <c r="EJ1" s="53" t="s">
        <v>548</v>
      </c>
      <c r="EK1" s="53" t="s">
        <v>549</v>
      </c>
      <c r="EL1" s="53" t="s">
        <v>550</v>
      </c>
    </row>
    <row r="2" spans="1:142" ht="12.75">
      <c r="A2" s="55" t="s">
        <v>420</v>
      </c>
      <c r="B2" t="s">
        <v>421</v>
      </c>
      <c r="C2" s="7">
        <v>23.051691104500005</v>
      </c>
      <c r="D2" s="7">
        <v>14.025845552250004</v>
      </c>
      <c r="E2" s="7">
        <v>5.1</v>
      </c>
      <c r="F2" s="7">
        <v>6</v>
      </c>
      <c r="G2" s="7">
        <v>5.55</v>
      </c>
      <c r="H2" s="7">
        <v>4.350563701500002</v>
      </c>
      <c r="I2" s="7">
        <v>10</v>
      </c>
      <c r="J2" s="7">
        <v>7.175281850750001</v>
      </c>
      <c r="K2" s="7">
        <v>0.86298872597</v>
      </c>
      <c r="L2" s="7">
        <v>1.1129887259700002</v>
      </c>
      <c r="M2" s="7">
        <v>0.9879887259699999</v>
      </c>
      <c r="N2" s="7">
        <v>2.519549038799998</v>
      </c>
      <c r="O2" s="7">
        <v>7.818421635799993</v>
      </c>
      <c r="P2" s="7">
        <v>5.168985337299996</v>
      </c>
      <c r="Q2" s="7">
        <v>0.056103382209000005</v>
      </c>
      <c r="R2" s="7">
        <v>0.09350563701500003</v>
      </c>
      <c r="S2" s="7">
        <v>0.07480450961200001</v>
      </c>
      <c r="T2" s="7">
        <v>1</v>
      </c>
      <c r="U2" s="7">
        <v>2.870112740300001</v>
      </c>
      <c r="V2" s="7">
        <v>1.9350563701500003</v>
      </c>
      <c r="W2" s="7">
        <v>12.250936602124202</v>
      </c>
      <c r="X2" s="7">
        <v>27.402254806000006</v>
      </c>
      <c r="Y2" s="7">
        <v>19.826600054625803</v>
      </c>
      <c r="Z2" s="7">
        <v>5.279147850504201</v>
      </c>
      <c r="AA2" s="7">
        <v>6</v>
      </c>
      <c r="AB2" s="7">
        <v>5.639569574688398</v>
      </c>
      <c r="AC2" s="7">
        <v>4.350563701500002</v>
      </c>
      <c r="AD2" s="7">
        <v>9.726990719372798</v>
      </c>
      <c r="AE2" s="7">
        <v>7.038777210436401</v>
      </c>
      <c r="AF2" s="7">
        <v>1.1436439287575992</v>
      </c>
      <c r="AG2" s="7">
        <v>1.40473609213056</v>
      </c>
      <c r="AH2" s="7">
        <v>1.2741944933553935</v>
      </c>
      <c r="AI2" s="7">
        <v>2.895299298751104</v>
      </c>
      <c r="AJ2" s="7">
        <v>11.555784022550021</v>
      </c>
      <c r="AK2" s="7">
        <v>7.225537310086862</v>
      </c>
      <c r="AL2" s="7">
        <v>0.055420859007432</v>
      </c>
      <c r="AM2" s="7">
        <v>0.09350563701500003</v>
      </c>
      <c r="AN2" s="7">
        <v>0.07446338035882828</v>
      </c>
      <c r="AO2" s="7">
        <v>0.8208521494957985</v>
      </c>
      <c r="AP2" s="7">
        <v>2.2217823595673987</v>
      </c>
      <c r="AQ2" s="7">
        <v>1.5213172545315983</v>
      </c>
      <c r="AR2" s="7">
        <v>26.75281850750001</v>
      </c>
      <c r="AS2" s="7">
        <v>36.10338220900002</v>
      </c>
      <c r="AT2" s="7">
        <v>31.42810035825001</v>
      </c>
      <c r="AU2" s="7">
        <v>5.6</v>
      </c>
      <c r="AV2" s="7">
        <v>6</v>
      </c>
      <c r="AW2" s="7">
        <v>5.8</v>
      </c>
      <c r="AX2" s="7">
        <v>4.350563701500002</v>
      </c>
      <c r="AY2" s="7">
        <v>9.4804509612</v>
      </c>
      <c r="AZ2" s="7">
        <v>6.9155073313500015</v>
      </c>
      <c r="BA2" s="7">
        <v>1.6675281850750001</v>
      </c>
      <c r="BB2" s="7">
        <v>1.9545394591050005</v>
      </c>
      <c r="BC2" s="7">
        <v>1.81103382209</v>
      </c>
      <c r="BD2" s="7">
        <v>2.598615306740292</v>
      </c>
      <c r="BE2" s="7">
        <v>13.040932734417959</v>
      </c>
      <c r="BF2" s="7">
        <v>7.819774020579125</v>
      </c>
      <c r="BG2" s="7">
        <v>0.05480450961200001</v>
      </c>
      <c r="BH2" s="7">
        <v>0.09350563701500003</v>
      </c>
      <c r="BI2" s="7">
        <v>0.07415507331350002</v>
      </c>
      <c r="BJ2" s="7">
        <v>0.5</v>
      </c>
      <c r="BK2" s="7">
        <v>1</v>
      </c>
      <c r="BL2" s="7">
        <v>0.75</v>
      </c>
      <c r="BM2" s="56">
        <v>16376.165261799224</v>
      </c>
      <c r="BN2" s="56">
        <v>33121.890521142996</v>
      </c>
      <c r="BO2" s="56">
        <v>24749.02789595403</v>
      </c>
      <c r="BP2" s="56">
        <v>410403.0552667353</v>
      </c>
      <c r="BQ2" s="56">
        <v>685732.9991368789</v>
      </c>
      <c r="BR2" s="56">
        <v>548068.0271974565</v>
      </c>
      <c r="BS2" s="7">
        <f aca="true" t="shared" si="0" ref="BS2:BS44">((12*J2)+(24*AE2)+(24*AZ2))/60</f>
        <v>7.016770186864562</v>
      </c>
      <c r="BT2" s="56">
        <v>416334.123835551</v>
      </c>
      <c r="BU2" s="8">
        <v>417893.687055</v>
      </c>
      <c r="BV2" s="57">
        <f aca="true" t="shared" si="1" ref="BV2:BV11">(BT2/BU2)*100</f>
        <v>99.62680383366411</v>
      </c>
      <c r="BW2">
        <v>0</v>
      </c>
      <c r="BX2">
        <v>0</v>
      </c>
      <c r="BY2">
        <v>362257.625370951</v>
      </c>
      <c r="BZ2">
        <v>54076.4984646</v>
      </c>
      <c r="CA2">
        <v>0</v>
      </c>
      <c r="CB2">
        <v>0</v>
      </c>
      <c r="CC2">
        <v>0</v>
      </c>
      <c r="CD2">
        <v>0</v>
      </c>
      <c r="CE2" s="7">
        <v>0</v>
      </c>
      <c r="CF2" s="7">
        <v>0</v>
      </c>
      <c r="CG2" s="7">
        <v>87.01127403000004</v>
      </c>
      <c r="CH2" s="7">
        <v>12.988725969999958</v>
      </c>
      <c r="CI2" s="7">
        <v>0</v>
      </c>
      <c r="CJ2" s="7">
        <v>0</v>
      </c>
      <c r="CK2" s="7">
        <v>0</v>
      </c>
      <c r="CL2" s="7">
        <v>0</v>
      </c>
      <c r="CM2" s="7">
        <v>0</v>
      </c>
      <c r="CN2" s="56">
        <f aca="true" t="shared" si="2" ref="CN2:CN44">(BM2*BU2)/1000000</f>
        <v>6843.496081075287</v>
      </c>
      <c r="CO2" s="56">
        <f aca="true" t="shared" si="3" ref="CO2:CO44">(BN2*BU2)/100000</f>
        <v>138414.289521125</v>
      </c>
      <c r="CP2" s="56">
        <f aca="true" t="shared" si="4" ref="CP2:CP44">(BO2*BU2)/1000000</f>
        <v>10342.462518467277</v>
      </c>
      <c r="CQ2" s="6">
        <f aca="true" t="shared" si="5" ref="CQ2:CQ44">(12*Q2)+(24*AL2)+(24*BG2)</f>
        <v>3.318649433374368</v>
      </c>
      <c r="CR2" s="6">
        <f aca="true" t="shared" si="6" ref="CR2:CR44">(12*R2)+(24*AM2)+(24*BH2)</f>
        <v>5.610338220900002</v>
      </c>
      <c r="CS2" s="6">
        <f aca="true" t="shared" si="7" ref="CS2:CS44">(12*S2)+(24*AN2)+(24*BI2)</f>
        <v>4.464497003479879</v>
      </c>
      <c r="CT2" s="58">
        <f aca="true" t="shared" si="8" ref="CT2:CT44">(CQ2/(12*3.28))*BU2</f>
        <v>35234.8233677795</v>
      </c>
      <c r="CU2" s="58">
        <f aca="true" t="shared" si="9" ref="CU2:CU44">(CR2/(12*3.28))*BU2</f>
        <v>59566.182031440316</v>
      </c>
      <c r="CV2" s="58">
        <f aca="true" t="shared" si="10" ref="CV2:CV44">(CS2/(12*3.28))*BU2</f>
        <v>47400.53642353165</v>
      </c>
      <c r="CW2">
        <f aca="true" t="shared" si="11" ref="CW2:CW44">(BU2*BP2)/1000</f>
        <v>171504845.94405293</v>
      </c>
      <c r="CX2">
        <f aca="true" t="shared" si="12" ref="CX2:CX44">(BU2*BQ2)/1000</f>
        <v>286563491.34459347</v>
      </c>
      <c r="CY2">
        <f aca="true" t="shared" si="13" ref="CY2:CY44">(BU2*BR2)/1000</f>
        <v>229034168.6425051</v>
      </c>
      <c r="CZ2" s="59">
        <v>121.423</v>
      </c>
      <c r="DA2" s="59">
        <v>12.6067</v>
      </c>
      <c r="DB2" s="6">
        <v>3.01</v>
      </c>
      <c r="DC2" s="6">
        <v>8.17</v>
      </c>
      <c r="DD2" s="6">
        <v>15.48</v>
      </c>
      <c r="DE2" s="6">
        <v>9.46</v>
      </c>
      <c r="DF2" s="6">
        <v>0</v>
      </c>
      <c r="DG2" s="6">
        <v>43.87</v>
      </c>
      <c r="DH2" s="6">
        <v>7.53</v>
      </c>
      <c r="DI2" s="6">
        <v>0</v>
      </c>
      <c r="DJ2" s="6">
        <v>0.22</v>
      </c>
      <c r="DK2" s="6">
        <v>7.1</v>
      </c>
      <c r="DL2" s="6">
        <v>0</v>
      </c>
      <c r="DM2" s="6">
        <v>3.44</v>
      </c>
      <c r="DN2" s="6">
        <v>1.72</v>
      </c>
      <c r="DO2" s="6">
        <v>0</v>
      </c>
      <c r="DP2" s="6">
        <v>26.7546</v>
      </c>
      <c r="DQ2" t="s">
        <v>422</v>
      </c>
      <c r="DR2" t="s">
        <v>423</v>
      </c>
      <c r="DS2" s="59">
        <v>1</v>
      </c>
      <c r="DT2">
        <v>1</v>
      </c>
      <c r="DU2">
        <f aca="true" t="shared" si="14" ref="DU2:DU44">IF(DS2=1,IF(DT2=1,1,0),0)</f>
        <v>1</v>
      </c>
      <c r="DV2">
        <f aca="true" t="shared" si="15" ref="DV2:DV44">IF(DS2=1,IF(DT2=2,1,0),0)</f>
        <v>0</v>
      </c>
      <c r="DW2">
        <f aca="true" t="shared" si="16" ref="DW2:DW44">IF(DS2=1,IF(DT2=0,1,0),0)</f>
        <v>0</v>
      </c>
      <c r="DX2">
        <f aca="true" t="shared" si="17" ref="DX2:DX44">1.54-0.00056*CZ2</f>
        <v>1.47200312</v>
      </c>
      <c r="DY2" s="59">
        <f aca="true" t="shared" si="18" ref="DY2:DY44">DX2*BU2/1000</f>
        <v>615.1408111732636</v>
      </c>
      <c r="DZ2">
        <f>IF(DS2=1,DY2,0)</f>
        <v>615.1408111732636</v>
      </c>
      <c r="EA2">
        <f>IF(DS2=1,CN2,0)</f>
        <v>6843.496081075287</v>
      </c>
      <c r="EB2">
        <f>IF(DS2=1,CO2,0)</f>
        <v>138414.289521125</v>
      </c>
      <c r="EC2">
        <f>IF(DS2=1,CP2,0)</f>
        <v>10342.462518467277</v>
      </c>
      <c r="ED2" s="7">
        <f aca="true" t="shared" si="19" ref="ED2:ED44">DP2/(BU2/1000000)</f>
        <v>64.02250339924079</v>
      </c>
      <c r="EE2">
        <f>IF(DV2=1,DY2,0)</f>
        <v>0</v>
      </c>
      <c r="EF2">
        <f>IF(DV2=1,CN2,0)</f>
        <v>0</v>
      </c>
      <c r="EG2">
        <f>IF(DV2=1,CO2,0)</f>
        <v>0</v>
      </c>
      <c r="EH2">
        <f>IF(DV2=1,CP2,0)</f>
        <v>0</v>
      </c>
      <c r="EI2">
        <f>IF(DU2=1,DY2,0)</f>
        <v>615.1408111732636</v>
      </c>
      <c r="EJ2">
        <f>IF(DU2=1,CN2,0)</f>
        <v>6843.496081075287</v>
      </c>
      <c r="EK2">
        <f>IF(DU2=1,CO2,0)</f>
        <v>138414.289521125</v>
      </c>
      <c r="EL2">
        <f>IF(DU2=1,CP2,0)</f>
        <v>10342.462518467277</v>
      </c>
    </row>
    <row r="3" spans="1:142" ht="12.75">
      <c r="A3" s="55" t="s">
        <v>424</v>
      </c>
      <c r="B3" t="s">
        <v>425</v>
      </c>
      <c r="C3" s="7">
        <v>8.496362937428563</v>
      </c>
      <c r="D3" s="7">
        <v>5.657015069913483</v>
      </c>
      <c r="E3" s="7">
        <v>5.20509373977681</v>
      </c>
      <c r="F3" s="7">
        <v>6.898492007585596</v>
      </c>
      <c r="G3" s="7">
        <v>6.051792873681204</v>
      </c>
      <c r="H3" s="7">
        <v>3.3780398174546344</v>
      </c>
      <c r="I3" s="7">
        <v>10.088765145693811</v>
      </c>
      <c r="J3" s="7">
        <v>6.733402481574221</v>
      </c>
      <c r="K3" s="7">
        <v>1.2986377785309249</v>
      </c>
      <c r="L3" s="7">
        <v>1.5675580194554848</v>
      </c>
      <c r="M3" s="7">
        <v>1.4330978989932053</v>
      </c>
      <c r="N3" s="7">
        <v>4.785663030841697</v>
      </c>
      <c r="O3" s="7">
        <v>15.8531525608909</v>
      </c>
      <c r="P3" s="7">
        <v>10.3194077958663</v>
      </c>
      <c r="Q3" s="7">
        <v>0.05310947622121841</v>
      </c>
      <c r="R3" s="7">
        <v>0.07679932391732072</v>
      </c>
      <c r="S3" s="7">
        <v>0.06495440006926957</v>
      </c>
      <c r="T3" s="7">
        <v>0.8315188695586971</v>
      </c>
      <c r="U3" s="7">
        <v>2.4140549281294033</v>
      </c>
      <c r="V3" s="7">
        <v>1.6227868988440504</v>
      </c>
      <c r="W3" s="7">
        <v>2.6901191870840244</v>
      </c>
      <c r="X3" s="7">
        <v>8.323492206362848</v>
      </c>
      <c r="Y3" s="7">
        <v>5.506805611542226</v>
      </c>
      <c r="Z3" s="7">
        <v>5.216864755861351</v>
      </c>
      <c r="AA3" s="7">
        <v>6.9513405892862465</v>
      </c>
      <c r="AB3" s="7">
        <v>6.084102943416083</v>
      </c>
      <c r="AC3" s="7">
        <v>3.105739831614866</v>
      </c>
      <c r="AD3" s="7">
        <v>10.47276928136642</v>
      </c>
      <c r="AE3" s="7">
        <v>6.789254278558734</v>
      </c>
      <c r="AF3" s="7">
        <v>1.326536582839812</v>
      </c>
      <c r="AG3" s="7">
        <v>1.6000319309822084</v>
      </c>
      <c r="AH3" s="7">
        <v>1.463284476494719</v>
      </c>
      <c r="AI3" s="7">
        <v>5.454224651388883</v>
      </c>
      <c r="AJ3" s="7">
        <v>19.143234042166604</v>
      </c>
      <c r="AK3" s="7">
        <v>12.29872913489969</v>
      </c>
      <c r="AL3" s="7">
        <v>0.051354359927917786</v>
      </c>
      <c r="AM3" s="7">
        <v>0.07446604553922934</v>
      </c>
      <c r="AN3" s="7">
        <v>0.06291040752200595</v>
      </c>
      <c r="AO3" s="7">
        <v>0.6712858221198376</v>
      </c>
      <c r="AP3" s="7">
        <v>1.6208769674915375</v>
      </c>
      <c r="AQ3" s="7">
        <v>1.1460816656479698</v>
      </c>
      <c r="AR3" s="7">
        <v>2.2894935329926085</v>
      </c>
      <c r="AS3" s="7">
        <v>7.431395875750252</v>
      </c>
      <c r="AT3" s="7">
        <v>4.860444704371432</v>
      </c>
      <c r="AU3" s="7">
        <v>5.2521778041149725</v>
      </c>
      <c r="AV3" s="7">
        <v>7.015995065371127</v>
      </c>
      <c r="AW3" s="7">
        <v>6.134086434743051</v>
      </c>
      <c r="AX3" s="7">
        <v>2.8956978498703756</v>
      </c>
      <c r="AY3" s="7">
        <v>10.76259910074309</v>
      </c>
      <c r="AZ3" s="7">
        <v>6.829148475306731</v>
      </c>
      <c r="BA3" s="7">
        <v>1.3408550484815334</v>
      </c>
      <c r="BB3" s="7">
        <v>1.6207817735091785</v>
      </c>
      <c r="BC3" s="7">
        <v>1.4808184109953564</v>
      </c>
      <c r="BD3" s="7">
        <v>6.658451793377033</v>
      </c>
      <c r="BE3" s="7">
        <v>26.03995277670743</v>
      </c>
      <c r="BF3" s="7">
        <v>16.34920228504223</v>
      </c>
      <c r="BG3" s="7">
        <v>0.04945184699549552</v>
      </c>
      <c r="BH3" s="7">
        <v>0.0732367655918783</v>
      </c>
      <c r="BI3" s="7">
        <v>0.06134430629368692</v>
      </c>
      <c r="BJ3" s="7">
        <v>0.4942610793924755</v>
      </c>
      <c r="BK3" s="7">
        <v>1.0455356773876145</v>
      </c>
      <c r="BL3" s="7">
        <v>0.7698983783900452</v>
      </c>
      <c r="BM3" s="56">
        <v>14669.003124198407</v>
      </c>
      <c r="BN3" s="56">
        <v>29785.086135191927</v>
      </c>
      <c r="BO3" s="56">
        <v>22227.044629714288</v>
      </c>
      <c r="BP3" s="56">
        <v>52377.16513671911</v>
      </c>
      <c r="BQ3" s="56">
        <v>171260.8876960073</v>
      </c>
      <c r="BR3" s="56">
        <v>111819.02641615194</v>
      </c>
      <c r="BS3" s="7">
        <f t="shared" si="0"/>
        <v>6.79404159786103</v>
      </c>
      <c r="BT3" s="56">
        <v>15419083.998579165</v>
      </c>
      <c r="BU3" s="8">
        <v>15429605.2273</v>
      </c>
      <c r="BV3" s="57">
        <f t="shared" si="1"/>
        <v>99.93181141989156</v>
      </c>
      <c r="BW3">
        <v>6840.4575238</v>
      </c>
      <c r="BX3">
        <v>1202938.4550790654</v>
      </c>
      <c r="BY3">
        <v>9187785.748238524</v>
      </c>
      <c r="BZ3">
        <v>4622964.432845748</v>
      </c>
      <c r="CA3">
        <v>7666.036506072</v>
      </c>
      <c r="CB3">
        <v>382661.89245935006</v>
      </c>
      <c r="CC3">
        <v>0</v>
      </c>
      <c r="CD3">
        <v>0</v>
      </c>
      <c r="CE3" s="7">
        <v>0.04436357908440173</v>
      </c>
      <c r="CF3" s="7">
        <v>7.801620739532346</v>
      </c>
      <c r="CG3" s="7">
        <v>59.587104844134444</v>
      </c>
      <c r="CH3" s="7">
        <v>29.982095131408222</v>
      </c>
      <c r="CI3" s="7">
        <v>0.049717846447807204</v>
      </c>
      <c r="CJ3" s="7">
        <v>2.4817420574050413</v>
      </c>
      <c r="CK3" s="7">
        <v>0</v>
      </c>
      <c r="CL3" s="7">
        <v>0</v>
      </c>
      <c r="CM3" s="7">
        <v>8.585449091654592</v>
      </c>
      <c r="CN3" s="56">
        <f t="shared" si="2"/>
        <v>226336.92728441177</v>
      </c>
      <c r="CO3" s="56">
        <f t="shared" si="3"/>
        <v>4595721.20727138</v>
      </c>
      <c r="CP3" s="56">
        <f t="shared" si="4"/>
        <v>342954.5240060699</v>
      </c>
      <c r="CQ3" s="6">
        <f t="shared" si="5"/>
        <v>3.0566626808165402</v>
      </c>
      <c r="CR3" s="6">
        <f t="shared" si="6"/>
        <v>4.466459354154432</v>
      </c>
      <c r="CS3" s="6">
        <f t="shared" si="7"/>
        <v>3.761565932407864</v>
      </c>
      <c r="CT3" s="58">
        <f t="shared" si="8"/>
        <v>1198249.4532017207</v>
      </c>
      <c r="CU3" s="58">
        <f t="shared" si="9"/>
        <v>1750907.1290239892</v>
      </c>
      <c r="CV3" s="58">
        <f t="shared" si="10"/>
        <v>1474580.2178230176</v>
      </c>
      <c r="CW3">
        <f t="shared" si="11"/>
        <v>808158980.9846764</v>
      </c>
      <c r="CX3">
        <f t="shared" si="12"/>
        <v>2642487888.0263524</v>
      </c>
      <c r="CY3">
        <f t="shared" si="13"/>
        <v>1725323434.502255</v>
      </c>
      <c r="CZ3" s="59">
        <v>132.792</v>
      </c>
      <c r="DA3" s="59">
        <v>14.0794</v>
      </c>
      <c r="DB3" s="6">
        <v>2.47</v>
      </c>
      <c r="DC3" s="6">
        <v>12.76</v>
      </c>
      <c r="DD3" s="6">
        <v>8.18</v>
      </c>
      <c r="DE3" s="6">
        <v>17.92</v>
      </c>
      <c r="DF3" s="6">
        <v>0.16</v>
      </c>
      <c r="DG3" s="6">
        <v>35.39</v>
      </c>
      <c r="DH3" s="6">
        <v>8.87</v>
      </c>
      <c r="DI3" s="6">
        <v>0</v>
      </c>
      <c r="DJ3" s="6">
        <v>0.09</v>
      </c>
      <c r="DK3" s="6">
        <v>11.45</v>
      </c>
      <c r="DL3" s="6">
        <v>0</v>
      </c>
      <c r="DM3" s="6">
        <v>2.25</v>
      </c>
      <c r="DN3" s="6">
        <v>0.36</v>
      </c>
      <c r="DO3" s="6">
        <v>0.1</v>
      </c>
      <c r="DP3" s="6">
        <v>77.6998</v>
      </c>
      <c r="DQ3" t="s">
        <v>426</v>
      </c>
      <c r="DR3" t="s">
        <v>290</v>
      </c>
      <c r="DS3" s="59">
        <v>1</v>
      </c>
      <c r="DT3">
        <v>1</v>
      </c>
      <c r="DU3">
        <f t="shared" si="14"/>
        <v>1</v>
      </c>
      <c r="DV3">
        <f t="shared" si="15"/>
        <v>0</v>
      </c>
      <c r="DW3">
        <f t="shared" si="16"/>
        <v>0</v>
      </c>
      <c r="DX3">
        <f t="shared" si="17"/>
        <v>1.4656364800000001</v>
      </c>
      <c r="DY3" s="59">
        <f t="shared" si="18"/>
        <v>22614.192293129574</v>
      </c>
      <c r="DZ3">
        <f aca="true" t="shared" si="20" ref="DZ3:DZ44">IF(DS3=1,DY3,0)</f>
        <v>22614.192293129574</v>
      </c>
      <c r="EA3">
        <f aca="true" t="shared" si="21" ref="EA3:EA44">IF(DS3=1,CN3,0)</f>
        <v>226336.92728441177</v>
      </c>
      <c r="EB3">
        <f aca="true" t="shared" si="22" ref="EB3:EB44">IF(DS3=1,CO3,0)</f>
        <v>4595721.20727138</v>
      </c>
      <c r="EC3">
        <f aca="true" t="shared" si="23" ref="EC3:EC44">IF(DS3=1,CP3,0)</f>
        <v>342954.5240060699</v>
      </c>
      <c r="ED3" s="7">
        <f t="shared" si="19"/>
        <v>5.035760724618134</v>
      </c>
      <c r="EE3">
        <f aca="true" t="shared" si="24" ref="EE3:EE44">IF(DV3=1,DY3,0)</f>
        <v>0</v>
      </c>
      <c r="EF3">
        <f aca="true" t="shared" si="25" ref="EF3:EF44">IF(DV3=1,CN3,0)</f>
        <v>0</v>
      </c>
      <c r="EG3">
        <f aca="true" t="shared" si="26" ref="EG3:EG44">IF(DV3=1,CO3,0)</f>
        <v>0</v>
      </c>
      <c r="EH3">
        <f aca="true" t="shared" si="27" ref="EH3:EH44">IF(DV3=1,CP3,0)</f>
        <v>0</v>
      </c>
      <c r="EI3">
        <f aca="true" t="shared" si="28" ref="EI3:EI44">IF(DU3=1,DY3,0)</f>
        <v>22614.192293129574</v>
      </c>
      <c r="EJ3">
        <f aca="true" t="shared" si="29" ref="EJ3:EJ44">IF(DU3=1,CN3,0)</f>
        <v>226336.92728441177</v>
      </c>
      <c r="EK3">
        <f aca="true" t="shared" si="30" ref="EK3:EK44">IF(DU3=1,CO3,0)</f>
        <v>4595721.20727138</v>
      </c>
      <c r="EL3">
        <f aca="true" t="shared" si="31" ref="EL3:EL44">IF(DU3=1,CP3,0)</f>
        <v>342954.5240060699</v>
      </c>
    </row>
    <row r="4" spans="1:142" ht="12.75">
      <c r="A4" s="55" t="s">
        <v>427</v>
      </c>
      <c r="B4" t="s">
        <v>428</v>
      </c>
      <c r="C4" s="7">
        <v>14.111242531380098</v>
      </c>
      <c r="D4" s="7">
        <v>10.898311838475962</v>
      </c>
      <c r="E4" s="7">
        <v>5.1270094039990335</v>
      </c>
      <c r="F4" s="7">
        <v>6.2801600589051</v>
      </c>
      <c r="G4" s="7">
        <v>5.70358473145207</v>
      </c>
      <c r="H4" s="7">
        <v>2.790948238342229</v>
      </c>
      <c r="I4" s="7">
        <v>9.790808308371133</v>
      </c>
      <c r="J4" s="7">
        <v>6.290878273356679</v>
      </c>
      <c r="K4" s="7">
        <v>1.1598367407454386</v>
      </c>
      <c r="L4" s="7">
        <v>1.413559854936132</v>
      </c>
      <c r="M4" s="7">
        <v>1.2866982978407855</v>
      </c>
      <c r="N4" s="7">
        <v>5.24924419715607</v>
      </c>
      <c r="O4" s="7">
        <v>20.383718904478805</v>
      </c>
      <c r="P4" s="7">
        <v>12.816481550817441</v>
      </c>
      <c r="Q4" s="7">
        <v>0.06582087322577328</v>
      </c>
      <c r="R4" s="7">
        <v>0.1090228745700496</v>
      </c>
      <c r="S4" s="7">
        <v>0.08742187389791146</v>
      </c>
      <c r="T4" s="7">
        <v>2.4253465851362215</v>
      </c>
      <c r="U4" s="7">
        <v>6.301983734396815</v>
      </c>
      <c r="V4" s="7">
        <v>4.363665159766518</v>
      </c>
      <c r="W4" s="7">
        <v>6.497277237390281</v>
      </c>
      <c r="X4" s="7">
        <v>12.42427731119704</v>
      </c>
      <c r="Y4" s="7">
        <v>9.460777202626936</v>
      </c>
      <c r="Z4" s="7">
        <v>5.196903794663293</v>
      </c>
      <c r="AA4" s="7">
        <v>6.407393703692854</v>
      </c>
      <c r="AB4" s="7">
        <v>5.802149127240752</v>
      </c>
      <c r="AC4" s="7">
        <v>1.8306657622700913</v>
      </c>
      <c r="AD4" s="7">
        <v>9.675892811115062</v>
      </c>
      <c r="AE4" s="7">
        <v>5.753278865554283</v>
      </c>
      <c r="AF4" s="7">
        <v>1.2465443514839294</v>
      </c>
      <c r="AG4" s="7">
        <v>1.5017674087934065</v>
      </c>
      <c r="AH4" s="7">
        <v>1.3741561253594599</v>
      </c>
      <c r="AI4" s="7">
        <v>7.226625347018991</v>
      </c>
      <c r="AJ4" s="7">
        <v>29.612891267349113</v>
      </c>
      <c r="AK4" s="7">
        <v>18.419758291743385</v>
      </c>
      <c r="AL4" s="7">
        <v>0.058372908347028477</v>
      </c>
      <c r="AM4" s="7">
        <v>0.09938129212441074</v>
      </c>
      <c r="AN4" s="7">
        <v>0.07887707260076282</v>
      </c>
      <c r="AO4" s="7">
        <v>1.9840156828733544</v>
      </c>
      <c r="AP4" s="7">
        <v>3.9711954171594175</v>
      </c>
      <c r="AQ4" s="7">
        <v>2.9776060151864536</v>
      </c>
      <c r="AR4" s="7">
        <v>4.686034066513256</v>
      </c>
      <c r="AS4" s="7">
        <v>10.043366400369077</v>
      </c>
      <c r="AT4" s="7">
        <v>7.364700233441166</v>
      </c>
      <c r="AU4" s="7">
        <v>5.319806584818292</v>
      </c>
      <c r="AV4" s="7">
        <v>6.571253536007694</v>
      </c>
      <c r="AW4" s="7">
        <v>5.945530060412996</v>
      </c>
      <c r="AX4" s="7">
        <v>1.1014524583686143</v>
      </c>
      <c r="AY4" s="7">
        <v>9.723574289426614</v>
      </c>
      <c r="AZ4" s="7">
        <v>5.412513373897614</v>
      </c>
      <c r="BA4" s="7">
        <v>1.3013190561755759</v>
      </c>
      <c r="BB4" s="7">
        <v>1.5577389374447745</v>
      </c>
      <c r="BC4" s="7">
        <v>1.4295289968101756</v>
      </c>
      <c r="BD4" s="7">
        <v>10.55020554812595</v>
      </c>
      <c r="BE4" s="7">
        <v>48.071853095533164</v>
      </c>
      <c r="BF4" s="7">
        <v>29.311029321829555</v>
      </c>
      <c r="BG4" s="7">
        <v>0.05395921045726233</v>
      </c>
      <c r="BH4" s="7">
        <v>0.09333656285715117</v>
      </c>
      <c r="BI4" s="7">
        <v>0.07364788665720677</v>
      </c>
      <c r="BJ4" s="7">
        <v>1.544399926698042</v>
      </c>
      <c r="BK4" s="7">
        <v>2.6814547719773763</v>
      </c>
      <c r="BL4" s="7">
        <v>2.1129273493377094</v>
      </c>
      <c r="BM4" s="56">
        <v>20806.246622352282</v>
      </c>
      <c r="BN4" s="56">
        <v>41318.56923372041</v>
      </c>
      <c r="BO4" s="56">
        <v>31062.4079277023</v>
      </c>
      <c r="BP4" s="56">
        <v>80590.77882912522</v>
      </c>
      <c r="BQ4" s="56">
        <v>180928.82348285342</v>
      </c>
      <c r="BR4" s="56">
        <v>130759.80115607346</v>
      </c>
      <c r="BS4" s="7">
        <f t="shared" si="0"/>
        <v>5.724492550452095</v>
      </c>
      <c r="BT4" s="56">
        <v>37438687.4032381</v>
      </c>
      <c r="BU4" s="8">
        <v>37437216.5208</v>
      </c>
      <c r="BV4" s="57">
        <f t="shared" si="1"/>
        <v>100.00392893108729</v>
      </c>
      <c r="BW4">
        <v>18281.8548108</v>
      </c>
      <c r="BX4">
        <v>2076330.8148537697</v>
      </c>
      <c r="BY4">
        <v>23270972.28951644</v>
      </c>
      <c r="BZ4">
        <v>10319595.777697552</v>
      </c>
      <c r="CA4">
        <v>811696.146206473</v>
      </c>
      <c r="CB4">
        <v>1038393.62965005</v>
      </c>
      <c r="CC4">
        <v>0</v>
      </c>
      <c r="CD4">
        <v>0</v>
      </c>
      <c r="CE4" s="7">
        <v>0.04883145237944102</v>
      </c>
      <c r="CF4" s="7">
        <v>5.545949815201551</v>
      </c>
      <c r="CG4" s="7">
        <v>62.157553866334844</v>
      </c>
      <c r="CH4" s="7">
        <v>27.563989267436234</v>
      </c>
      <c r="CI4" s="7">
        <v>2.168067853084691</v>
      </c>
      <c r="CJ4" s="7">
        <v>2.77358449687592</v>
      </c>
      <c r="CK4" s="7">
        <v>0</v>
      </c>
      <c r="CL4" s="7">
        <v>0</v>
      </c>
      <c r="CM4" s="7">
        <v>14.364990973795301</v>
      </c>
      <c r="CN4" s="56">
        <f t="shared" si="2"/>
        <v>778927.9597861661</v>
      </c>
      <c r="CO4" s="56">
        <f t="shared" si="3"/>
        <v>15468522.227324562</v>
      </c>
      <c r="CP4" s="56">
        <f t="shared" si="4"/>
        <v>1162890.0912468054</v>
      </c>
      <c r="CQ4" s="6">
        <f t="shared" si="5"/>
        <v>3.485821330012259</v>
      </c>
      <c r="CR4" s="6">
        <f t="shared" si="6"/>
        <v>5.933503014398081</v>
      </c>
      <c r="CS4" s="6">
        <f t="shared" si="7"/>
        <v>4.709661508966208</v>
      </c>
      <c r="CT4" s="58">
        <f t="shared" si="8"/>
        <v>3315534.753162906</v>
      </c>
      <c r="CU4" s="58">
        <f t="shared" si="9"/>
        <v>5643644.234675825</v>
      </c>
      <c r="CV4" s="58">
        <f t="shared" si="10"/>
        <v>4479588.863080427</v>
      </c>
      <c r="CW4">
        <f t="shared" si="11"/>
        <v>3017094436.605866</v>
      </c>
      <c r="CX4">
        <f t="shared" si="12"/>
        <v>6773471539.581187</v>
      </c>
      <c r="CY4">
        <f t="shared" si="13"/>
        <v>4895282988.096677</v>
      </c>
      <c r="CZ4" s="59">
        <v>149.017</v>
      </c>
      <c r="DA4" s="59">
        <v>10.4773</v>
      </c>
      <c r="DB4" s="6">
        <v>1</v>
      </c>
      <c r="DC4" s="6">
        <v>7.37</v>
      </c>
      <c r="DD4" s="6">
        <v>9.99</v>
      </c>
      <c r="DE4" s="6">
        <v>22.65</v>
      </c>
      <c r="DF4" s="6">
        <v>0.4</v>
      </c>
      <c r="DG4" s="6">
        <v>26.83</v>
      </c>
      <c r="DH4" s="6">
        <v>17.61</v>
      </c>
      <c r="DI4" s="6">
        <v>0</v>
      </c>
      <c r="DJ4" s="6">
        <v>0.15</v>
      </c>
      <c r="DK4" s="6">
        <v>8.92</v>
      </c>
      <c r="DL4" s="6">
        <v>0</v>
      </c>
      <c r="DM4" s="6">
        <v>3.94</v>
      </c>
      <c r="DN4" s="6">
        <v>1.1</v>
      </c>
      <c r="DO4" s="6">
        <v>0.04</v>
      </c>
      <c r="DP4" s="6">
        <v>3110.92</v>
      </c>
      <c r="DQ4" t="s">
        <v>426</v>
      </c>
      <c r="DR4" t="s">
        <v>290</v>
      </c>
      <c r="DS4" s="59">
        <v>1</v>
      </c>
      <c r="DT4">
        <v>1</v>
      </c>
      <c r="DU4">
        <f t="shared" si="14"/>
        <v>1</v>
      </c>
      <c r="DV4">
        <f t="shared" si="15"/>
        <v>0</v>
      </c>
      <c r="DW4">
        <f t="shared" si="16"/>
        <v>0</v>
      </c>
      <c r="DX4">
        <f t="shared" si="17"/>
        <v>1.45655048</v>
      </c>
      <c r="DY4" s="59">
        <f t="shared" si="18"/>
        <v>54529.195693235175</v>
      </c>
      <c r="DZ4">
        <f t="shared" si="20"/>
        <v>54529.195693235175</v>
      </c>
      <c r="EA4">
        <f t="shared" si="21"/>
        <v>778927.9597861661</v>
      </c>
      <c r="EB4">
        <f t="shared" si="22"/>
        <v>15468522.227324562</v>
      </c>
      <c r="EC4">
        <f t="shared" si="23"/>
        <v>1162890.0912468054</v>
      </c>
      <c r="ED4" s="7">
        <f t="shared" si="19"/>
        <v>83.09698981684663</v>
      </c>
      <c r="EE4">
        <f t="shared" si="24"/>
        <v>0</v>
      </c>
      <c r="EF4">
        <f t="shared" si="25"/>
        <v>0</v>
      </c>
      <c r="EG4">
        <f t="shared" si="26"/>
        <v>0</v>
      </c>
      <c r="EH4">
        <f t="shared" si="27"/>
        <v>0</v>
      </c>
      <c r="EI4">
        <f t="shared" si="28"/>
        <v>54529.195693235175</v>
      </c>
      <c r="EJ4">
        <f t="shared" si="29"/>
        <v>778927.9597861661</v>
      </c>
      <c r="EK4">
        <f t="shared" si="30"/>
        <v>15468522.227324562</v>
      </c>
      <c r="EL4">
        <f t="shared" si="31"/>
        <v>1162890.0912468054</v>
      </c>
    </row>
    <row r="5" spans="1:142" ht="12.75">
      <c r="A5" s="55" t="s">
        <v>429</v>
      </c>
      <c r="B5" t="s">
        <v>430</v>
      </c>
      <c r="C5" s="7">
        <v>25.334970551858607</v>
      </c>
      <c r="D5" s="7">
        <v>15.82356682637776</v>
      </c>
      <c r="E5" s="7">
        <v>5.060216752041279</v>
      </c>
      <c r="F5" s="7">
        <v>6.0015521404869725</v>
      </c>
      <c r="G5" s="7">
        <v>5.530884446264125</v>
      </c>
      <c r="H5" s="7">
        <v>5.248179252044364</v>
      </c>
      <c r="I5" s="7">
        <v>11.20722773454647</v>
      </c>
      <c r="J5" s="7">
        <v>8.227703493295417</v>
      </c>
      <c r="K5" s="7">
        <v>0.8616642505954933</v>
      </c>
      <c r="L5" s="7">
        <v>1.1115012408098663</v>
      </c>
      <c r="M5" s="7">
        <v>0.9865827457026799</v>
      </c>
      <c r="N5" s="7">
        <v>2.065555375406783</v>
      </c>
      <c r="O5" s="7">
        <v>6.275464625848124</v>
      </c>
      <c r="P5" s="7">
        <v>4.170510000627454</v>
      </c>
      <c r="Q5" s="7">
        <v>0.06647130803749428</v>
      </c>
      <c r="R5" s="7">
        <v>0.10594068164192705</v>
      </c>
      <c r="S5" s="7">
        <v>0.0862059948397107</v>
      </c>
      <c r="T5" s="7">
        <v>1.4638500165953623</v>
      </c>
      <c r="U5" s="7">
        <v>3.707058295697816</v>
      </c>
      <c r="V5" s="7">
        <v>2.5854541561465894</v>
      </c>
      <c r="W5" s="7">
        <v>13.670878331844145</v>
      </c>
      <c r="X5" s="7">
        <v>29.67985319765587</v>
      </c>
      <c r="Y5" s="7">
        <v>21.67537035990052</v>
      </c>
      <c r="Z5" s="7">
        <v>5.21936444872145</v>
      </c>
      <c r="AA5" s="7">
        <v>5.999830997451139</v>
      </c>
      <c r="AB5" s="7">
        <v>5.609593302667741</v>
      </c>
      <c r="AC5" s="7">
        <v>5.374557359615151</v>
      </c>
      <c r="AD5" s="7">
        <v>11.299427724903852</v>
      </c>
      <c r="AE5" s="7">
        <v>8.336992499230924</v>
      </c>
      <c r="AF5" s="7">
        <v>1.1341561652781522</v>
      </c>
      <c r="AG5" s="7">
        <v>1.397660925105017</v>
      </c>
      <c r="AH5" s="7">
        <v>1.2659130226661868</v>
      </c>
      <c r="AI5" s="7">
        <v>1.7967583504619147</v>
      </c>
      <c r="AJ5" s="7">
        <v>6.383902669836213</v>
      </c>
      <c r="AK5" s="7">
        <v>4.090326089730512</v>
      </c>
      <c r="AL5" s="7">
        <v>0.06635173023044791</v>
      </c>
      <c r="AM5" s="7">
        <v>0.10605705312785134</v>
      </c>
      <c r="AN5" s="7">
        <v>0.08620458043858405</v>
      </c>
      <c r="AO5" s="7">
        <v>1.2346151070139018</v>
      </c>
      <c r="AP5" s="7">
        <v>2.9447794900952857</v>
      </c>
      <c r="AQ5" s="7">
        <v>2.089697298554594</v>
      </c>
      <c r="AR5" s="7">
        <v>28.16670335905277</v>
      </c>
      <c r="AS5" s="7">
        <v>37.91699937867159</v>
      </c>
      <c r="AT5" s="7">
        <v>33.04185136886218</v>
      </c>
      <c r="AU5" s="7">
        <v>5.521134550736739</v>
      </c>
      <c r="AV5" s="7">
        <v>5.980689011475857</v>
      </c>
      <c r="AW5" s="7">
        <v>5.750911781106298</v>
      </c>
      <c r="AX5" s="7">
        <v>5.624507382182022</v>
      </c>
      <c r="AY5" s="7">
        <v>11.451330341899624</v>
      </c>
      <c r="AZ5" s="7">
        <v>8.537918862040822</v>
      </c>
      <c r="BA5" s="7">
        <v>1.645844783064314</v>
      </c>
      <c r="BB5" s="7">
        <v>1.9413726912409592</v>
      </c>
      <c r="BC5" s="7">
        <v>1.7936087371526364</v>
      </c>
      <c r="BD5" s="7">
        <v>0.8057929033085378</v>
      </c>
      <c r="BE5" s="7">
        <v>3.9940300427752495</v>
      </c>
      <c r="BF5" s="7">
        <v>2.3999114730418936</v>
      </c>
      <c r="BG5" s="7">
        <v>0.06571607077799466</v>
      </c>
      <c r="BH5" s="7">
        <v>0.10521689839020829</v>
      </c>
      <c r="BI5" s="7">
        <v>0.08546648458410148</v>
      </c>
      <c r="BJ5" s="7">
        <v>0.7216354350437277</v>
      </c>
      <c r="BK5" s="7">
        <v>1.3692545764135546</v>
      </c>
      <c r="BL5" s="7">
        <v>1.045445005728641</v>
      </c>
      <c r="BM5" s="56">
        <v>20071.582147675566</v>
      </c>
      <c r="BN5" s="56">
        <v>36995.648172001165</v>
      </c>
      <c r="BO5" s="56">
        <v>28533.615164579252</v>
      </c>
      <c r="BP5" s="56">
        <v>430904.1195025637</v>
      </c>
      <c r="BQ5" s="56">
        <v>714790.1418135709</v>
      </c>
      <c r="BR5" s="56">
        <v>572847.1306536468</v>
      </c>
      <c r="BS5" s="7">
        <f t="shared" si="0"/>
        <v>8.395505243167781</v>
      </c>
      <c r="BT5" s="56">
        <v>4256319.58139585</v>
      </c>
      <c r="BU5" s="8">
        <v>4253046.63322</v>
      </c>
      <c r="BV5" s="57">
        <f t="shared" si="1"/>
        <v>100.07695537947514</v>
      </c>
      <c r="BW5">
        <v>0</v>
      </c>
      <c r="BX5">
        <v>260857.35255100002</v>
      </c>
      <c r="BY5">
        <v>3762942.8086607</v>
      </c>
      <c r="BZ5">
        <v>160684.095342</v>
      </c>
      <c r="CA5">
        <v>68900.63442722999</v>
      </c>
      <c r="CB5">
        <v>0</v>
      </c>
      <c r="CC5">
        <v>0</v>
      </c>
      <c r="CD5">
        <v>0</v>
      </c>
      <c r="CE5" s="7">
        <v>0</v>
      </c>
      <c r="CF5" s="7">
        <v>6.128706915974869</v>
      </c>
      <c r="CG5" s="7">
        <v>88.40837105156122</v>
      </c>
      <c r="CH5" s="7">
        <v>3.775188687530461</v>
      </c>
      <c r="CI5" s="7">
        <v>1.6187843302084521</v>
      </c>
      <c r="CJ5" s="7">
        <v>0</v>
      </c>
      <c r="CK5" s="7">
        <v>0</v>
      </c>
      <c r="CL5" s="7">
        <v>0</v>
      </c>
      <c r="CM5" s="7">
        <v>4.252852029237583</v>
      </c>
      <c r="CN5" s="56">
        <f t="shared" si="2"/>
        <v>85365.37487657022</v>
      </c>
      <c r="CO5" s="56">
        <f t="shared" si="3"/>
        <v>1573442.1690172122</v>
      </c>
      <c r="CP5" s="56">
        <f t="shared" si="4"/>
        <v>121354.79590930893</v>
      </c>
      <c r="CQ5" s="6">
        <f t="shared" si="5"/>
        <v>3.9672829206525524</v>
      </c>
      <c r="CR5" s="6">
        <f t="shared" si="6"/>
        <v>6.341863016136555</v>
      </c>
      <c r="CS5" s="6">
        <f t="shared" si="7"/>
        <v>5.154577498620981</v>
      </c>
      <c r="CT5" s="58">
        <f t="shared" si="8"/>
        <v>428684.94077013584</v>
      </c>
      <c r="CU5" s="58">
        <f t="shared" si="9"/>
        <v>685270.303585417</v>
      </c>
      <c r="CV5" s="58">
        <f t="shared" si="10"/>
        <v>556978.111691604</v>
      </c>
      <c r="CW5">
        <f t="shared" si="11"/>
        <v>1832655314.6910074</v>
      </c>
      <c r="CX5">
        <f t="shared" si="12"/>
        <v>3040035806.0990543</v>
      </c>
      <c r="CY5">
        <f t="shared" si="13"/>
        <v>2436345560.37623</v>
      </c>
      <c r="CZ5" s="59">
        <v>107.188</v>
      </c>
      <c r="DA5" s="59">
        <v>12.1433</v>
      </c>
      <c r="DB5" s="6">
        <v>1.91</v>
      </c>
      <c r="DC5" s="6">
        <v>7.78</v>
      </c>
      <c r="DD5" s="6">
        <v>8.57</v>
      </c>
      <c r="DE5" s="6">
        <v>16.17</v>
      </c>
      <c r="DF5" s="6">
        <v>0</v>
      </c>
      <c r="DG5" s="6">
        <v>20.55</v>
      </c>
      <c r="DH5" s="6">
        <v>18.88</v>
      </c>
      <c r="DI5" s="6">
        <v>0</v>
      </c>
      <c r="DJ5" s="6">
        <v>0.21</v>
      </c>
      <c r="DK5" s="6">
        <v>16.32</v>
      </c>
      <c r="DL5" s="6">
        <v>0</v>
      </c>
      <c r="DM5" s="6">
        <v>9.08</v>
      </c>
      <c r="DN5" s="6">
        <v>0.4</v>
      </c>
      <c r="DO5" s="6">
        <v>0.04</v>
      </c>
      <c r="DP5" s="6">
        <v>234.837</v>
      </c>
      <c r="DQ5" t="s">
        <v>422</v>
      </c>
      <c r="DR5" t="s">
        <v>423</v>
      </c>
      <c r="DS5" s="59">
        <v>1</v>
      </c>
      <c r="DT5">
        <v>1</v>
      </c>
      <c r="DU5">
        <f t="shared" si="14"/>
        <v>1</v>
      </c>
      <c r="DV5">
        <f t="shared" si="15"/>
        <v>0</v>
      </c>
      <c r="DW5">
        <f t="shared" si="16"/>
        <v>0</v>
      </c>
      <c r="DX5">
        <f t="shared" si="17"/>
        <v>1.47997472</v>
      </c>
      <c r="DY5" s="59">
        <f t="shared" si="18"/>
        <v>6294.401500146712</v>
      </c>
      <c r="DZ5">
        <f t="shared" si="20"/>
        <v>6294.401500146712</v>
      </c>
      <c r="EA5">
        <f t="shared" si="21"/>
        <v>85365.37487657022</v>
      </c>
      <c r="EB5">
        <f t="shared" si="22"/>
        <v>1573442.1690172122</v>
      </c>
      <c r="EC5">
        <f t="shared" si="23"/>
        <v>121354.79590930893</v>
      </c>
      <c r="ED5" s="7">
        <f t="shared" si="19"/>
        <v>55.21618271610718</v>
      </c>
      <c r="EE5">
        <f t="shared" si="24"/>
        <v>0</v>
      </c>
      <c r="EF5">
        <f t="shared" si="25"/>
        <v>0</v>
      </c>
      <c r="EG5">
        <f t="shared" si="26"/>
        <v>0</v>
      </c>
      <c r="EH5">
        <f t="shared" si="27"/>
        <v>0</v>
      </c>
      <c r="EI5">
        <f t="shared" si="28"/>
        <v>6294.401500146712</v>
      </c>
      <c r="EJ5">
        <f t="shared" si="29"/>
        <v>85365.37487657022</v>
      </c>
      <c r="EK5">
        <f t="shared" si="30"/>
        <v>1573442.1690172122</v>
      </c>
      <c r="EL5">
        <f t="shared" si="31"/>
        <v>121354.79590930893</v>
      </c>
    </row>
    <row r="6" spans="1:142" ht="12.75">
      <c r="A6" s="55" t="s">
        <v>431</v>
      </c>
      <c r="B6" t="s">
        <v>432</v>
      </c>
      <c r="C6" s="7">
        <v>17.661267178256512</v>
      </c>
      <c r="D6" s="7">
        <v>12.707065571545616</v>
      </c>
      <c r="E6" s="7">
        <v>5.210473304704963</v>
      </c>
      <c r="F6" s="7">
        <v>5.9192130869170105</v>
      </c>
      <c r="G6" s="7">
        <v>5.564843695503062</v>
      </c>
      <c r="H6" s="7">
        <v>9.588048161057019</v>
      </c>
      <c r="I6" s="7">
        <v>21.4977695684276</v>
      </c>
      <c r="J6" s="7">
        <v>15.542907673625733</v>
      </c>
      <c r="K6" s="7">
        <v>0.787758982349457</v>
      </c>
      <c r="L6" s="7">
        <v>1.0435625234211863</v>
      </c>
      <c r="M6" s="7">
        <v>0.9156615646384204</v>
      </c>
      <c r="N6" s="7">
        <v>1.4183565337309942</v>
      </c>
      <c r="O6" s="7">
        <v>4.384775233854214</v>
      </c>
      <c r="P6" s="7">
        <v>2.9015658837926024</v>
      </c>
      <c r="Q6" s="7">
        <v>0.049416561394861745</v>
      </c>
      <c r="R6" s="7">
        <v>0.10364397509750424</v>
      </c>
      <c r="S6" s="7">
        <v>0.07653015911947968</v>
      </c>
      <c r="T6" s="7">
        <v>2.2183912077389922</v>
      </c>
      <c r="U6" s="7">
        <v>5.77808172127573</v>
      </c>
      <c r="V6" s="7">
        <v>3.9982355324256664</v>
      </c>
      <c r="W6" s="7">
        <v>6.738765527205467</v>
      </c>
      <c r="X6" s="7">
        <v>15.789147119116254</v>
      </c>
      <c r="Y6" s="7">
        <v>11.263957440699931</v>
      </c>
      <c r="Z6" s="7">
        <v>5.283234088695075</v>
      </c>
      <c r="AA6" s="7">
        <v>6.101434001984698</v>
      </c>
      <c r="AB6" s="7">
        <v>5.692335173783494</v>
      </c>
      <c r="AC6" s="7">
        <v>10.128225646670225</v>
      </c>
      <c r="AD6" s="7">
        <v>21.709849198465108</v>
      </c>
      <c r="AE6" s="7">
        <v>15.919037707490546</v>
      </c>
      <c r="AF6" s="7">
        <v>0.8848849075543617</v>
      </c>
      <c r="AG6" s="7">
        <v>1.1941748893188926</v>
      </c>
      <c r="AH6" s="7">
        <v>1.0395308797901963</v>
      </c>
      <c r="AI6" s="7">
        <v>1.4333252452930119</v>
      </c>
      <c r="AJ6" s="7">
        <v>4.50559476834138</v>
      </c>
      <c r="AK6" s="7">
        <v>2.9694597220730454</v>
      </c>
      <c r="AL6" s="7">
        <v>0.047718393093020464</v>
      </c>
      <c r="AM6" s="7">
        <v>0.09742835362516494</v>
      </c>
      <c r="AN6" s="7">
        <v>0.07257352442406466</v>
      </c>
      <c r="AO6" s="7">
        <v>1.4364155687394056</v>
      </c>
      <c r="AP6" s="7">
        <v>4.465111018154843</v>
      </c>
      <c r="AQ6" s="7">
        <v>2.9507617015969907</v>
      </c>
      <c r="AR6" s="7">
        <v>4.687766677927258</v>
      </c>
      <c r="AS6" s="7">
        <v>11.604311279417235</v>
      </c>
      <c r="AT6" s="7">
        <v>8.146038420419496</v>
      </c>
      <c r="AU6" s="7">
        <v>5.4209980703694045</v>
      </c>
      <c r="AV6" s="7">
        <v>6.279250567116843</v>
      </c>
      <c r="AW6" s="7">
        <v>5.850124527984407</v>
      </c>
      <c r="AX6" s="7">
        <v>8.079909189480516</v>
      </c>
      <c r="AY6" s="7">
        <v>17.504129548627784</v>
      </c>
      <c r="AZ6" s="7">
        <v>12.792019667502919</v>
      </c>
      <c r="BA6" s="7">
        <v>1.1502630026870175</v>
      </c>
      <c r="BB6" s="7">
        <v>1.5434057732486117</v>
      </c>
      <c r="BC6" s="7">
        <v>1.3468348558176393</v>
      </c>
      <c r="BD6" s="7">
        <v>1.180611804088284</v>
      </c>
      <c r="BE6" s="7">
        <v>3.905187660427418</v>
      </c>
      <c r="BF6" s="7">
        <v>2.542899732257849</v>
      </c>
      <c r="BG6" s="7">
        <v>0.033210913803772085</v>
      </c>
      <c r="BH6" s="7">
        <v>0.06867679570346534</v>
      </c>
      <c r="BI6" s="7">
        <v>0.050944261131859334</v>
      </c>
      <c r="BJ6" s="7">
        <v>0.6366363153903463</v>
      </c>
      <c r="BK6" s="7">
        <v>2.2644549620463805</v>
      </c>
      <c r="BL6" s="7">
        <v>1.4505455281914346</v>
      </c>
      <c r="BM6" s="56">
        <v>20687.621674933158</v>
      </c>
      <c r="BN6" s="56">
        <v>45708.63336987251</v>
      </c>
      <c r="BO6" s="56">
        <v>33198.12752417782</v>
      </c>
      <c r="BP6" s="56">
        <v>99876.472792704</v>
      </c>
      <c r="BQ6" s="56">
        <v>234240.9762440752</v>
      </c>
      <c r="BR6" s="56">
        <v>167058.72451823668</v>
      </c>
      <c r="BS6" s="7">
        <f t="shared" si="0"/>
        <v>14.593004484722533</v>
      </c>
      <c r="BT6" s="56">
        <v>172259624.18938044</v>
      </c>
      <c r="BU6" s="8">
        <v>176933812.35</v>
      </c>
      <c r="BV6" s="57">
        <f t="shared" si="1"/>
        <v>97.35822786015973</v>
      </c>
      <c r="BW6">
        <v>115591484.74625103</v>
      </c>
      <c r="BX6">
        <v>112511.65079740001</v>
      </c>
      <c r="BY6">
        <v>23457253.757555086</v>
      </c>
      <c r="BZ6">
        <v>53260406.98766482</v>
      </c>
      <c r="CA6">
        <v>561950.4485383</v>
      </c>
      <c r="CB6">
        <v>1426576.8804368498</v>
      </c>
      <c r="CC6">
        <v>44065177.26056943</v>
      </c>
      <c r="CD6">
        <v>0</v>
      </c>
      <c r="CE6" s="7">
        <v>67.1030633499879</v>
      </c>
      <c r="CF6" s="7">
        <v>0.06531516095362304</v>
      </c>
      <c r="CG6" s="7">
        <v>13.617383567356692</v>
      </c>
      <c r="CH6" s="7">
        <v>30.91868291150507</v>
      </c>
      <c r="CI6" s="7">
        <v>0.3262229621031203</v>
      </c>
      <c r="CJ6" s="7">
        <v>0.8281551101426332</v>
      </c>
      <c r="CK6" s="7">
        <v>25.580676532838964</v>
      </c>
      <c r="CL6" s="7">
        <v>0</v>
      </c>
      <c r="CM6" s="7">
        <v>0.7913750897052401</v>
      </c>
      <c r="CN6" s="56">
        <f t="shared" si="2"/>
        <v>3660339.771400416</v>
      </c>
      <c r="CO6" s="56">
        <f t="shared" si="3"/>
        <v>80874027.59439969</v>
      </c>
      <c r="CP6" s="56">
        <f t="shared" si="4"/>
        <v>5873871.265734248</v>
      </c>
      <c r="CQ6" s="6">
        <f t="shared" si="5"/>
        <v>2.535302102261362</v>
      </c>
      <c r="CR6" s="6">
        <f t="shared" si="6"/>
        <v>5.230251285057178</v>
      </c>
      <c r="CS6" s="6">
        <f t="shared" si="7"/>
        <v>3.8827887627759314</v>
      </c>
      <c r="CT6" s="58">
        <f t="shared" si="8"/>
        <v>11396866.524696961</v>
      </c>
      <c r="CU6" s="58">
        <f t="shared" si="9"/>
        <v>23511389.720875334</v>
      </c>
      <c r="CV6" s="58">
        <f t="shared" si="10"/>
        <v>17454182.376719646</v>
      </c>
      <c r="CW6">
        <f t="shared" si="11"/>
        <v>17671525095.28417</v>
      </c>
      <c r="CX6">
        <f t="shared" si="12"/>
        <v>41445148935.450005</v>
      </c>
      <c r="CY6">
        <f t="shared" si="13"/>
        <v>29558337015.34003</v>
      </c>
      <c r="CZ6" s="59">
        <v>950.92</v>
      </c>
      <c r="DA6" s="59">
        <v>57.0129</v>
      </c>
      <c r="DB6" s="6">
        <v>3.04</v>
      </c>
      <c r="DC6" s="6">
        <v>7.61</v>
      </c>
      <c r="DD6" s="6">
        <v>4.83</v>
      </c>
      <c r="DE6" s="6">
        <v>6.54</v>
      </c>
      <c r="DF6" s="6">
        <v>0.28</v>
      </c>
      <c r="DG6" s="6">
        <v>60.23</v>
      </c>
      <c r="DH6" s="6">
        <v>7.09</v>
      </c>
      <c r="DI6" s="6">
        <v>1.72</v>
      </c>
      <c r="DJ6" s="6">
        <v>2.25</v>
      </c>
      <c r="DK6" s="6">
        <v>2.11</v>
      </c>
      <c r="DL6" s="6">
        <v>3.66</v>
      </c>
      <c r="DM6" s="6">
        <v>0.27</v>
      </c>
      <c r="DN6" s="6">
        <v>0.15</v>
      </c>
      <c r="DO6" s="6">
        <v>0.23</v>
      </c>
      <c r="DP6" s="6">
        <v>377.577</v>
      </c>
      <c r="DQ6" t="s">
        <v>433</v>
      </c>
      <c r="DR6" t="s">
        <v>434</v>
      </c>
      <c r="DS6" s="59">
        <v>1</v>
      </c>
      <c r="DT6">
        <v>2</v>
      </c>
      <c r="DU6">
        <f t="shared" si="14"/>
        <v>0</v>
      </c>
      <c r="DV6">
        <f t="shared" si="15"/>
        <v>1</v>
      </c>
      <c r="DW6">
        <f t="shared" si="16"/>
        <v>0</v>
      </c>
      <c r="DX6">
        <f t="shared" si="17"/>
        <v>1.0074848</v>
      </c>
      <c r="DY6" s="59">
        <f t="shared" si="18"/>
        <v>178258.1265486773</v>
      </c>
      <c r="DZ6">
        <f t="shared" si="20"/>
        <v>178258.1265486773</v>
      </c>
      <c r="EA6">
        <f t="shared" si="21"/>
        <v>3660339.771400416</v>
      </c>
      <c r="EB6">
        <f t="shared" si="22"/>
        <v>80874027.59439969</v>
      </c>
      <c r="EC6">
        <f t="shared" si="23"/>
        <v>5873871.265734248</v>
      </c>
      <c r="ED6" s="7">
        <f t="shared" si="19"/>
        <v>2.1340013815623866</v>
      </c>
      <c r="EE6">
        <f t="shared" si="24"/>
        <v>178258.1265486773</v>
      </c>
      <c r="EF6">
        <f t="shared" si="25"/>
        <v>3660339.771400416</v>
      </c>
      <c r="EG6">
        <f t="shared" si="26"/>
        <v>80874027.59439969</v>
      </c>
      <c r="EH6">
        <f t="shared" si="27"/>
        <v>5873871.265734248</v>
      </c>
      <c r="EI6">
        <f t="shared" si="28"/>
        <v>0</v>
      </c>
      <c r="EJ6">
        <f t="shared" si="29"/>
        <v>0</v>
      </c>
      <c r="EK6">
        <f t="shared" si="30"/>
        <v>0</v>
      </c>
      <c r="EL6">
        <f t="shared" si="31"/>
        <v>0</v>
      </c>
    </row>
    <row r="7" spans="1:142" ht="12.75">
      <c r="A7" s="55" t="s">
        <v>435</v>
      </c>
      <c r="B7" t="s">
        <v>436</v>
      </c>
      <c r="C7" s="7">
        <v>20.118650407161756</v>
      </c>
      <c r="D7" s="7">
        <v>12.306686405381663</v>
      </c>
      <c r="E7" s="7">
        <v>5.101206798573679</v>
      </c>
      <c r="F7" s="7">
        <v>6.000364052901202</v>
      </c>
      <c r="G7" s="7">
        <v>5.55078542573744</v>
      </c>
      <c r="H7" s="7">
        <v>3.374887374986644</v>
      </c>
      <c r="I7" s="7">
        <v>9.49095893306455</v>
      </c>
      <c r="J7" s="7">
        <v>6.432923154025594</v>
      </c>
      <c r="K7" s="7">
        <v>0.926476249762541</v>
      </c>
      <c r="L7" s="7">
        <v>1.1764107925479785</v>
      </c>
      <c r="M7" s="7">
        <v>1.0514435211552597</v>
      </c>
      <c r="N7" s="7">
        <v>3.305047319753534</v>
      </c>
      <c r="O7" s="7">
        <v>10.573815887059189</v>
      </c>
      <c r="P7" s="7">
        <v>6.939431603406364</v>
      </c>
      <c r="Q7" s="7">
        <v>0.05302227323158956</v>
      </c>
      <c r="R7" s="7">
        <v>0.09002918935705172</v>
      </c>
      <c r="S7" s="7">
        <v>0.07152573129432063</v>
      </c>
      <c r="T7" s="7">
        <v>1.0512928461511117</v>
      </c>
      <c r="U7" s="7">
        <v>2.8722530682531113</v>
      </c>
      <c r="V7" s="7">
        <v>1.9617729572021123</v>
      </c>
      <c r="W7" s="7">
        <v>9.978503461634636</v>
      </c>
      <c r="X7" s="7">
        <v>23.361726608521135</v>
      </c>
      <c r="Y7" s="7">
        <v>16.670118345573737</v>
      </c>
      <c r="Z7" s="7">
        <v>5.295170150370191</v>
      </c>
      <c r="AA7" s="7">
        <v>6.000846772330673</v>
      </c>
      <c r="AB7" s="7">
        <v>5.64800454080697</v>
      </c>
      <c r="AC7" s="7">
        <v>3.3606069171527926</v>
      </c>
      <c r="AD7" s="7">
        <v>8.97972296525006</v>
      </c>
      <c r="AE7" s="7">
        <v>6.170164941201425</v>
      </c>
      <c r="AF7" s="7">
        <v>1.1832241339954754</v>
      </c>
      <c r="AG7" s="7">
        <v>1.436040681323998</v>
      </c>
      <c r="AH7" s="7">
        <v>1.3096366025216104</v>
      </c>
      <c r="AI7" s="7">
        <v>5.204015924639581</v>
      </c>
      <c r="AJ7" s="7">
        <v>22.638186539932697</v>
      </c>
      <c r="AK7" s="7">
        <v>13.921097921790285</v>
      </c>
      <c r="AL7" s="7">
        <v>0.05175675411041585</v>
      </c>
      <c r="AM7" s="7">
        <v>0.09002918935705172</v>
      </c>
      <c r="AN7" s="7">
        <v>0.07089389156837302</v>
      </c>
      <c r="AO7" s="7">
        <v>0.8350746499928808</v>
      </c>
      <c r="AP7" s="7">
        <v>2.1781479549672618</v>
      </c>
      <c r="AQ7" s="7">
        <v>1.5066113024800716</v>
      </c>
      <c r="AR7" s="7">
        <v>21.013491852490752</v>
      </c>
      <c r="AS7" s="7">
        <v>29.98271831883646</v>
      </c>
      <c r="AT7" s="7">
        <v>25.498105085663603</v>
      </c>
      <c r="AU7" s="7">
        <v>5.596817190836934</v>
      </c>
      <c r="AV7" s="7">
        <v>6.002294930619088</v>
      </c>
      <c r="AW7" s="7">
        <v>5.799556060728012</v>
      </c>
      <c r="AX7" s="7">
        <v>3.36281938924986</v>
      </c>
      <c r="AY7" s="7">
        <v>8.674578549707672</v>
      </c>
      <c r="AZ7" s="7">
        <v>6.018698969478764</v>
      </c>
      <c r="BA7" s="7">
        <v>1.6079683595413092</v>
      </c>
      <c r="BB7" s="7">
        <v>1.8753818324737943</v>
      </c>
      <c r="BC7" s="7">
        <v>1.7416750960075522</v>
      </c>
      <c r="BD7" s="7">
        <v>6.5855585022931065</v>
      </c>
      <c r="BE7" s="7">
        <v>32.961021502141286</v>
      </c>
      <c r="BF7" s="7">
        <v>19.773290002217195</v>
      </c>
      <c r="BG7" s="7">
        <v>0.050951152308855406</v>
      </c>
      <c r="BH7" s="7">
        <v>0.09002918935705172</v>
      </c>
      <c r="BI7" s="7">
        <v>0.07049017083295354</v>
      </c>
      <c r="BJ7" s="7">
        <v>0.5316602826529844</v>
      </c>
      <c r="BK7" s="7">
        <v>1.0476724504300765</v>
      </c>
      <c r="BL7" s="7">
        <v>0.7896663665415308</v>
      </c>
      <c r="BM7" s="56">
        <v>16645.398921532586</v>
      </c>
      <c r="BN7" s="56">
        <v>33146.95946925119</v>
      </c>
      <c r="BO7" s="56">
        <v>24896.17919965769</v>
      </c>
      <c r="BP7" s="56">
        <v>325348.7156744602</v>
      </c>
      <c r="BQ7" s="56">
        <v>575281.0673540011</v>
      </c>
      <c r="BR7" s="56">
        <v>450314.89151092025</v>
      </c>
      <c r="BS7" s="7">
        <f t="shared" si="0"/>
        <v>6.162130195077195</v>
      </c>
      <c r="BT7" s="56">
        <v>6548532.983168328</v>
      </c>
      <c r="BU7" s="8">
        <v>6552930.683986224</v>
      </c>
      <c r="BV7" s="57">
        <f t="shared" si="1"/>
        <v>99.93288955690248</v>
      </c>
      <c r="BW7">
        <v>0</v>
      </c>
      <c r="BX7">
        <v>43076.4099665</v>
      </c>
      <c r="BY7">
        <v>4020575.76712721</v>
      </c>
      <c r="BZ7">
        <v>2000096.5576637757</v>
      </c>
      <c r="CA7">
        <v>10235.0915901</v>
      </c>
      <c r="CB7">
        <v>476065.3785597</v>
      </c>
      <c r="CC7">
        <v>0</v>
      </c>
      <c r="CD7">
        <v>0</v>
      </c>
      <c r="CE7" s="7">
        <v>0</v>
      </c>
      <c r="CF7" s="7">
        <v>0.6578024433444735</v>
      </c>
      <c r="CG7" s="7">
        <v>61.39658725795963</v>
      </c>
      <c r="CH7" s="7">
        <v>30.542666010915987</v>
      </c>
      <c r="CI7" s="7">
        <v>0.15629594622806697</v>
      </c>
      <c r="CJ7" s="7">
        <v>7.269801950808359</v>
      </c>
      <c r="CK7" s="7">
        <v>0</v>
      </c>
      <c r="CL7" s="7">
        <v>0</v>
      </c>
      <c r="CM7" s="7">
        <v>0.8779215473482288</v>
      </c>
      <c r="CN7" s="56">
        <f t="shared" si="2"/>
        <v>109076.14534010208</v>
      </c>
      <c r="CO7" s="56">
        <f t="shared" si="3"/>
        <v>2172097.2778690383</v>
      </c>
      <c r="CP7" s="56">
        <f t="shared" si="4"/>
        <v>163142.93659145647</v>
      </c>
      <c r="CQ7" s="6">
        <f t="shared" si="5"/>
        <v>3.101257032841585</v>
      </c>
      <c r="CR7" s="6">
        <f t="shared" si="6"/>
        <v>5.401751361423102</v>
      </c>
      <c r="CS7" s="6">
        <f t="shared" si="7"/>
        <v>4.251526273163686</v>
      </c>
      <c r="CT7" s="58">
        <f t="shared" si="8"/>
        <v>516319.1658901346</v>
      </c>
      <c r="CU7" s="58">
        <f t="shared" si="9"/>
        <v>899321.7033418142</v>
      </c>
      <c r="CV7" s="58">
        <f t="shared" si="10"/>
        <v>707824.1099895303</v>
      </c>
      <c r="CW7">
        <f t="shared" si="11"/>
        <v>2131987581.9386802</v>
      </c>
      <c r="CX7">
        <f t="shared" si="12"/>
        <v>3769776958.1803794</v>
      </c>
      <c r="CY7">
        <f t="shared" si="13"/>
        <v>2950882270.037837</v>
      </c>
      <c r="CZ7" s="59">
        <v>86.2652</v>
      </c>
      <c r="DA7" s="59">
        <v>7.37131</v>
      </c>
      <c r="DB7" s="6">
        <v>1.7</v>
      </c>
      <c r="DC7" s="6">
        <v>15.83</v>
      </c>
      <c r="DD7" s="6">
        <v>12.37</v>
      </c>
      <c r="DE7" s="6">
        <v>18.22</v>
      </c>
      <c r="DF7" s="6">
        <v>5.92</v>
      </c>
      <c r="DG7" s="6">
        <v>18.92</v>
      </c>
      <c r="DH7" s="6">
        <v>7.59</v>
      </c>
      <c r="DI7" s="6">
        <v>0</v>
      </c>
      <c r="DJ7" s="6">
        <v>0.4</v>
      </c>
      <c r="DK7" s="6">
        <v>12.92</v>
      </c>
      <c r="DL7" s="6">
        <v>0</v>
      </c>
      <c r="DM7" s="6">
        <v>3.59</v>
      </c>
      <c r="DN7" s="6">
        <v>2.53</v>
      </c>
      <c r="DO7" s="6">
        <v>0.01</v>
      </c>
      <c r="DP7" s="6">
        <v>277.422</v>
      </c>
      <c r="DQ7" t="s">
        <v>422</v>
      </c>
      <c r="DR7" t="s">
        <v>423</v>
      </c>
      <c r="DS7" s="59">
        <v>1</v>
      </c>
      <c r="DT7">
        <v>1</v>
      </c>
      <c r="DU7">
        <f t="shared" si="14"/>
        <v>1</v>
      </c>
      <c r="DV7">
        <f t="shared" si="15"/>
        <v>0</v>
      </c>
      <c r="DW7">
        <f t="shared" si="16"/>
        <v>0</v>
      </c>
      <c r="DX7">
        <f t="shared" si="17"/>
        <v>1.491691488</v>
      </c>
      <c r="DY7" s="59">
        <f t="shared" si="18"/>
        <v>9774.95092275627</v>
      </c>
      <c r="DZ7">
        <f t="shared" si="20"/>
        <v>9774.95092275627</v>
      </c>
      <c r="EA7">
        <f t="shared" si="21"/>
        <v>109076.14534010208</v>
      </c>
      <c r="EB7">
        <f t="shared" si="22"/>
        <v>2172097.2778690383</v>
      </c>
      <c r="EC7">
        <f t="shared" si="23"/>
        <v>163142.93659145647</v>
      </c>
      <c r="ED7" s="7">
        <f t="shared" si="19"/>
        <v>42.33556150348915</v>
      </c>
      <c r="EE7">
        <f t="shared" si="24"/>
        <v>0</v>
      </c>
      <c r="EF7">
        <f t="shared" si="25"/>
        <v>0</v>
      </c>
      <c r="EG7">
        <f t="shared" si="26"/>
        <v>0</v>
      </c>
      <c r="EH7">
        <f t="shared" si="27"/>
        <v>0</v>
      </c>
      <c r="EI7">
        <f t="shared" si="28"/>
        <v>9774.95092275627</v>
      </c>
      <c r="EJ7">
        <f t="shared" si="29"/>
        <v>109076.14534010208</v>
      </c>
      <c r="EK7">
        <f t="shared" si="30"/>
        <v>2172097.2778690383</v>
      </c>
      <c r="EL7">
        <f t="shared" si="31"/>
        <v>163142.93659145647</v>
      </c>
    </row>
    <row r="8" spans="1:142" ht="12.75">
      <c r="A8" s="55" t="s">
        <v>437</v>
      </c>
      <c r="B8" t="s">
        <v>438</v>
      </c>
      <c r="C8" s="7">
        <v>21.887261384271312</v>
      </c>
      <c r="D8" s="7">
        <v>14.011250899743823</v>
      </c>
      <c r="E8" s="7">
        <v>5.145168637582186</v>
      </c>
      <c r="F8" s="7">
        <v>6.045543585839086</v>
      </c>
      <c r="G8" s="7">
        <v>5.595356111710639</v>
      </c>
      <c r="H8" s="7">
        <v>4.0245655116112475</v>
      </c>
      <c r="I8" s="7">
        <v>11.13862800259521</v>
      </c>
      <c r="J8" s="7">
        <v>7.581596757103231</v>
      </c>
      <c r="K8" s="7">
        <v>0.8960343274093845</v>
      </c>
      <c r="L8" s="7">
        <v>1.1440409447165376</v>
      </c>
      <c r="M8" s="7">
        <v>1.0200376360629606</v>
      </c>
      <c r="N8" s="7">
        <v>2.9321982836538036</v>
      </c>
      <c r="O8" s="7">
        <v>9.337097447973205</v>
      </c>
      <c r="P8" s="7">
        <v>6.1346478658135</v>
      </c>
      <c r="Q8" s="7">
        <v>0.059319596425436445</v>
      </c>
      <c r="R8" s="7">
        <v>0.09446455994613792</v>
      </c>
      <c r="S8" s="7">
        <v>0.07689207818578715</v>
      </c>
      <c r="T8" s="7">
        <v>1.5713309321349964</v>
      </c>
      <c r="U8" s="7">
        <v>3.6709374975604736</v>
      </c>
      <c r="V8" s="7">
        <v>2.6211342148477335</v>
      </c>
      <c r="W8" s="7">
        <v>11.022948196496419</v>
      </c>
      <c r="X8" s="7">
        <v>24.14679556559629</v>
      </c>
      <c r="Y8" s="7">
        <v>17.584875106674026</v>
      </c>
      <c r="Z8" s="7">
        <v>5.334522918728849</v>
      </c>
      <c r="AA8" s="7">
        <v>6.049490782928492</v>
      </c>
      <c r="AB8" s="7">
        <v>5.692003560901133</v>
      </c>
      <c r="AC8" s="7">
        <v>3.9439866866776496</v>
      </c>
      <c r="AD8" s="7">
        <v>10.296689701639645</v>
      </c>
      <c r="AE8" s="7">
        <v>7.120338172427639</v>
      </c>
      <c r="AF8" s="7">
        <v>1.1644641896728163</v>
      </c>
      <c r="AG8" s="7">
        <v>1.4141776474008423</v>
      </c>
      <c r="AH8" s="7">
        <v>1.2893253578563975</v>
      </c>
      <c r="AI8" s="7">
        <v>4.732024669069912</v>
      </c>
      <c r="AJ8" s="7">
        <v>20.670774645225247</v>
      </c>
      <c r="AK8" s="7">
        <v>12.701396413277417</v>
      </c>
      <c r="AL8" s="7">
        <v>0.05638625758308665</v>
      </c>
      <c r="AM8" s="7">
        <v>0.09270800398499031</v>
      </c>
      <c r="AN8" s="7">
        <v>0.07454834327883145</v>
      </c>
      <c r="AO8" s="7">
        <v>1.1510756561015487</v>
      </c>
      <c r="AP8" s="7">
        <v>2.617859788035504</v>
      </c>
      <c r="AQ8" s="7">
        <v>1.8844677624305752</v>
      </c>
      <c r="AR8" s="7">
        <v>21.58193820816627</v>
      </c>
      <c r="AS8" s="7">
        <v>30.15488922701356</v>
      </c>
      <c r="AT8" s="7">
        <v>25.868413902425857</v>
      </c>
      <c r="AU8" s="7">
        <v>5.603256370793726</v>
      </c>
      <c r="AV8" s="7">
        <v>6.050734563936801</v>
      </c>
      <c r="AW8" s="7">
        <v>5.826995467365265</v>
      </c>
      <c r="AX8" s="7">
        <v>3.9244040846418424</v>
      </c>
      <c r="AY8" s="7">
        <v>9.82790070259838</v>
      </c>
      <c r="AZ8" s="7">
        <v>6.876152391832787</v>
      </c>
      <c r="BA8" s="7">
        <v>1.5852757625557932</v>
      </c>
      <c r="BB8" s="7">
        <v>1.8508781205364961</v>
      </c>
      <c r="BC8" s="7">
        <v>1.718076941546144</v>
      </c>
      <c r="BD8" s="7">
        <v>5.334398340714057</v>
      </c>
      <c r="BE8" s="7">
        <v>26.431470048413843</v>
      </c>
      <c r="BF8" s="7">
        <v>15.882934194563957</v>
      </c>
      <c r="BG8" s="7">
        <v>0.05434795679833474</v>
      </c>
      <c r="BH8" s="7">
        <v>0.09116046841494019</v>
      </c>
      <c r="BI8" s="7">
        <v>0.07275439744256526</v>
      </c>
      <c r="BJ8" s="7">
        <v>0.7731238608546762</v>
      </c>
      <c r="BK8" s="7">
        <v>1.4434545122981648</v>
      </c>
      <c r="BL8" s="7">
        <v>1.108289188363743</v>
      </c>
      <c r="BM8" s="56">
        <v>19661.251776672852</v>
      </c>
      <c r="BN8" s="56">
        <v>34860.707784561986</v>
      </c>
      <c r="BO8" s="56">
        <v>27260.9797849598</v>
      </c>
      <c r="BP8" s="56">
        <v>335142.70561585325</v>
      </c>
      <c r="BQ8" s="56">
        <v>572984.038159208</v>
      </c>
      <c r="BR8" s="56">
        <v>454063.37188430055</v>
      </c>
      <c r="BS8" s="7">
        <f t="shared" si="0"/>
        <v>7.114915577124817</v>
      </c>
      <c r="BT8" s="56">
        <v>57909282.71205584</v>
      </c>
      <c r="BU8" s="8">
        <v>57908998.2258</v>
      </c>
      <c r="BV8" s="57">
        <f t="shared" si="1"/>
        <v>100.00049126433639</v>
      </c>
      <c r="BW8">
        <v>0</v>
      </c>
      <c r="BX8">
        <v>1868236.1113917897</v>
      </c>
      <c r="BY8">
        <v>39948222.36738404</v>
      </c>
      <c r="BZ8">
        <v>14674030.011723097</v>
      </c>
      <c r="CA8">
        <v>874004.82576661</v>
      </c>
      <c r="CB8">
        <v>1132377.5366771729</v>
      </c>
      <c r="CC8">
        <v>0</v>
      </c>
      <c r="CD8">
        <v>12063.77591</v>
      </c>
      <c r="CE8" s="7">
        <v>0</v>
      </c>
      <c r="CF8" s="7">
        <v>3.2261427251331694</v>
      </c>
      <c r="CG8" s="7">
        <v>68.98414294996512</v>
      </c>
      <c r="CH8" s="7">
        <v>25.33968532245036</v>
      </c>
      <c r="CI8" s="7">
        <v>1.5092655008566622</v>
      </c>
      <c r="CJ8" s="7">
        <v>1.955433539572109</v>
      </c>
      <c r="CK8" s="7">
        <v>0</v>
      </c>
      <c r="CL8" s="7">
        <v>0.020832197093486885</v>
      </c>
      <c r="CM8" s="7">
        <v>3.6663897059634167</v>
      </c>
      <c r="CN8" s="56">
        <f t="shared" si="2"/>
        <v>1138563.3942523552</v>
      </c>
      <c r="CO8" s="56">
        <f t="shared" si="3"/>
        <v>20187486.652463324</v>
      </c>
      <c r="CP8" s="56">
        <f t="shared" si="4"/>
        <v>1578656.0300008066</v>
      </c>
      <c r="CQ8" s="6">
        <f t="shared" si="5"/>
        <v>3.369456302259351</v>
      </c>
      <c r="CR8" s="6">
        <f t="shared" si="6"/>
        <v>5.546418056951987</v>
      </c>
      <c r="CS8" s="6">
        <f t="shared" si="7"/>
        <v>4.457970715542967</v>
      </c>
      <c r="CT8" s="58">
        <f t="shared" si="8"/>
        <v>4957363.796479862</v>
      </c>
      <c r="CU8" s="58">
        <f t="shared" si="9"/>
        <v>8160251.8653347995</v>
      </c>
      <c r="CV8" s="58">
        <f t="shared" si="10"/>
        <v>6558857.171164786</v>
      </c>
      <c r="CW8">
        <f t="shared" si="11"/>
        <v>19407778344.89826</v>
      </c>
      <c r="CX8">
        <f t="shared" si="12"/>
        <v>33180931649.173298</v>
      </c>
      <c r="CY8">
        <f t="shared" si="13"/>
        <v>26294354996.84873</v>
      </c>
      <c r="CZ8" s="59">
        <v>116.591</v>
      </c>
      <c r="DA8" s="59">
        <v>10.3881</v>
      </c>
      <c r="DB8" s="6">
        <v>3.2</v>
      </c>
      <c r="DC8" s="6">
        <v>6.53</v>
      </c>
      <c r="DD8" s="6">
        <v>10.89</v>
      </c>
      <c r="DE8" s="6">
        <v>7.85</v>
      </c>
      <c r="DF8" s="6">
        <v>0.33</v>
      </c>
      <c r="DG8" s="6">
        <v>49.03</v>
      </c>
      <c r="DH8" s="6">
        <v>14.1</v>
      </c>
      <c r="DI8" s="6">
        <v>0</v>
      </c>
      <c r="DJ8" s="6">
        <v>0.05</v>
      </c>
      <c r="DK8" s="6">
        <v>6.97</v>
      </c>
      <c r="DL8" s="6">
        <v>0</v>
      </c>
      <c r="DM8" s="6">
        <v>0.98</v>
      </c>
      <c r="DN8" s="6">
        <v>0.03</v>
      </c>
      <c r="DO8" s="6">
        <v>0.05</v>
      </c>
      <c r="DP8" s="6">
        <v>134.769</v>
      </c>
      <c r="DQ8" t="s">
        <v>426</v>
      </c>
      <c r="DR8" t="s">
        <v>290</v>
      </c>
      <c r="DS8" s="59">
        <v>1</v>
      </c>
      <c r="DT8">
        <v>1</v>
      </c>
      <c r="DU8">
        <f t="shared" si="14"/>
        <v>1</v>
      </c>
      <c r="DV8">
        <f t="shared" si="15"/>
        <v>0</v>
      </c>
      <c r="DW8">
        <f t="shared" si="16"/>
        <v>0</v>
      </c>
      <c r="DX8">
        <f t="shared" si="17"/>
        <v>1.47470904</v>
      </c>
      <c r="DY8" s="59">
        <f t="shared" si="18"/>
        <v>85398.92318093122</v>
      </c>
      <c r="DZ8">
        <f t="shared" si="20"/>
        <v>85398.92318093122</v>
      </c>
      <c r="EA8">
        <f t="shared" si="21"/>
        <v>1138563.3942523552</v>
      </c>
      <c r="EB8">
        <f t="shared" si="22"/>
        <v>20187486.652463324</v>
      </c>
      <c r="EC8">
        <f t="shared" si="23"/>
        <v>1578656.0300008066</v>
      </c>
      <c r="ED8" s="7">
        <f t="shared" si="19"/>
        <v>2.3272549021571027</v>
      </c>
      <c r="EE8">
        <f t="shared" si="24"/>
        <v>0</v>
      </c>
      <c r="EF8">
        <f t="shared" si="25"/>
        <v>0</v>
      </c>
      <c r="EG8">
        <f t="shared" si="26"/>
        <v>0</v>
      </c>
      <c r="EH8">
        <f t="shared" si="27"/>
        <v>0</v>
      </c>
      <c r="EI8">
        <f t="shared" si="28"/>
        <v>85398.92318093122</v>
      </c>
      <c r="EJ8">
        <f t="shared" si="29"/>
        <v>1138563.3942523552</v>
      </c>
      <c r="EK8">
        <f t="shared" si="30"/>
        <v>20187486.652463324</v>
      </c>
      <c r="EL8">
        <f t="shared" si="31"/>
        <v>1578656.0300008066</v>
      </c>
    </row>
    <row r="9" spans="1:142" ht="12.75">
      <c r="A9" s="55" t="s">
        <v>439</v>
      </c>
      <c r="B9" t="s">
        <v>440</v>
      </c>
      <c r="C9" s="7">
        <v>17.340712412274318</v>
      </c>
      <c r="D9" s="7">
        <v>12.324660405372853</v>
      </c>
      <c r="E9" s="7">
        <v>5.033852473550979</v>
      </c>
      <c r="F9" s="7">
        <v>5.607329577808366</v>
      </c>
      <c r="G9" s="7">
        <v>5.320591078989734</v>
      </c>
      <c r="H9" s="7">
        <v>6.918071148110801</v>
      </c>
      <c r="I9" s="7">
        <v>17.773265924982397</v>
      </c>
      <c r="J9" s="7">
        <v>12.34566664785699</v>
      </c>
      <c r="K9" s="7">
        <v>0.7427292903761951</v>
      </c>
      <c r="L9" s="7">
        <v>1.0361775209613964</v>
      </c>
      <c r="M9" s="7">
        <v>0.8894540896887286</v>
      </c>
      <c r="N9" s="7">
        <v>1.9224403310678424</v>
      </c>
      <c r="O9" s="7">
        <v>5.904776603491636</v>
      </c>
      <c r="P9" s="7">
        <v>3.9136084672797393</v>
      </c>
      <c r="Q9" s="7">
        <v>0.046946908930957224</v>
      </c>
      <c r="R9" s="7">
        <v>0.09393742191030803</v>
      </c>
      <c r="S9" s="7">
        <v>0.07044202811898173</v>
      </c>
      <c r="T9" s="7">
        <v>2.56109616887863</v>
      </c>
      <c r="U9" s="7">
        <v>6.312418222925451</v>
      </c>
      <c r="V9" s="7">
        <v>4.43675766324172</v>
      </c>
      <c r="W9" s="7">
        <v>5.830799559921588</v>
      </c>
      <c r="X9" s="7">
        <v>14.991434741714238</v>
      </c>
      <c r="Y9" s="7">
        <v>10.41111746325195</v>
      </c>
      <c r="Z9" s="7">
        <v>5.090431936782912</v>
      </c>
      <c r="AA9" s="7">
        <v>5.834779948565512</v>
      </c>
      <c r="AB9" s="7">
        <v>5.462607831964271</v>
      </c>
      <c r="AC9" s="7">
        <v>7.196510285481519</v>
      </c>
      <c r="AD9" s="7">
        <v>17.908265153355053</v>
      </c>
      <c r="AE9" s="7">
        <v>12.5523881996564</v>
      </c>
      <c r="AF9" s="7">
        <v>0.8285118061700779</v>
      </c>
      <c r="AG9" s="7">
        <v>1.168416966437997</v>
      </c>
      <c r="AH9" s="7">
        <v>0.9984646823129841</v>
      </c>
      <c r="AI9" s="7">
        <v>2.4226787578384097</v>
      </c>
      <c r="AJ9" s="7">
        <v>8.562438365495021</v>
      </c>
      <c r="AK9" s="7">
        <v>5.492558857682402</v>
      </c>
      <c r="AL9" s="7">
        <v>0.043147541889482215</v>
      </c>
      <c r="AM9" s="7">
        <v>0.08625398372206755</v>
      </c>
      <c r="AN9" s="7">
        <v>0.06470079176422458</v>
      </c>
      <c r="AO9" s="7">
        <v>1.4329714491696064</v>
      </c>
      <c r="AP9" s="7">
        <v>4.357026488760282</v>
      </c>
      <c r="AQ9" s="7">
        <v>2.894997475310277</v>
      </c>
      <c r="AR9" s="7">
        <v>4.120613063387436</v>
      </c>
      <c r="AS9" s="7">
        <v>10.396187520609338</v>
      </c>
      <c r="AT9" s="7">
        <v>7.258400129232577</v>
      </c>
      <c r="AU9" s="7">
        <v>5.207642865587982</v>
      </c>
      <c r="AV9" s="7">
        <v>6.037957693251247</v>
      </c>
      <c r="AW9" s="7">
        <v>5.622800279419613</v>
      </c>
      <c r="AX9" s="7">
        <v>5.673298887984217</v>
      </c>
      <c r="AY9" s="7">
        <v>14.695685808120007</v>
      </c>
      <c r="AZ9" s="7">
        <v>10.184492486417122</v>
      </c>
      <c r="BA9" s="7">
        <v>1.121767016833574</v>
      </c>
      <c r="BB9" s="7">
        <v>1.5158144629488082</v>
      </c>
      <c r="BC9" s="7">
        <v>1.318790765355349</v>
      </c>
      <c r="BD9" s="7">
        <v>2.770365348405623</v>
      </c>
      <c r="BE9" s="7">
        <v>11.440170268287968</v>
      </c>
      <c r="BF9" s="7">
        <v>7.105267808346796</v>
      </c>
      <c r="BG9" s="7">
        <v>0.03012273701548051</v>
      </c>
      <c r="BH9" s="7">
        <v>0.06362411849771017</v>
      </c>
      <c r="BI9" s="7">
        <v>0.04687358945904045</v>
      </c>
      <c r="BJ9" s="7">
        <v>0.5733150393481952</v>
      </c>
      <c r="BK9" s="7">
        <v>2.433294036991197</v>
      </c>
      <c r="BL9" s="7">
        <v>1.5033044008680454</v>
      </c>
      <c r="BM9" s="56">
        <v>21548.22258997957</v>
      </c>
      <c r="BN9" s="56">
        <v>46310.34333730145</v>
      </c>
      <c r="BO9" s="56">
        <v>33929.28296564517</v>
      </c>
      <c r="BP9" s="56">
        <v>83073.02752758679</v>
      </c>
      <c r="BQ9" s="56">
        <v>210457.05014993853</v>
      </c>
      <c r="BR9" s="56">
        <v>146765.03883758522</v>
      </c>
      <c r="BS9" s="7">
        <f t="shared" si="0"/>
        <v>11.563885604000808</v>
      </c>
      <c r="BT9" s="56">
        <v>107971563.98138303</v>
      </c>
      <c r="BU9" s="8">
        <v>298904186.361</v>
      </c>
      <c r="BV9" s="57">
        <f t="shared" si="1"/>
        <v>36.122466297939674</v>
      </c>
      <c r="BW9">
        <v>78264441.89659253</v>
      </c>
      <c r="BX9">
        <v>25744.7399985</v>
      </c>
      <c r="BY9">
        <v>33290890.788180016</v>
      </c>
      <c r="BZ9">
        <v>17609585.455119025</v>
      </c>
      <c r="CA9">
        <v>0</v>
      </c>
      <c r="CB9">
        <v>3740636.2968516</v>
      </c>
      <c r="CC9">
        <v>8909007.772735188</v>
      </c>
      <c r="CD9">
        <v>9708308.944405228</v>
      </c>
      <c r="CE9" s="7">
        <v>72.48616118044492</v>
      </c>
      <c r="CF9" s="7">
        <v>0.023844000261901394</v>
      </c>
      <c r="CG9" s="7">
        <v>30.833017102466155</v>
      </c>
      <c r="CH9" s="7">
        <v>16.309465942491443</v>
      </c>
      <c r="CI9" s="7">
        <v>0</v>
      </c>
      <c r="CJ9" s="7">
        <v>3.4644643079325763</v>
      </c>
      <c r="CK9" s="7">
        <v>8.251253797038007</v>
      </c>
      <c r="CL9" s="7">
        <v>8.991542389882563</v>
      </c>
      <c r="CM9" s="7">
        <v>0</v>
      </c>
      <c r="CN9" s="56">
        <f t="shared" si="2"/>
        <v>6440853.940783563</v>
      </c>
      <c r="CO9" s="56">
        <f t="shared" si="3"/>
        <v>138423554.95334646</v>
      </c>
      <c r="CP9" s="56">
        <f t="shared" si="4"/>
        <v>10141604.718658308</v>
      </c>
      <c r="CQ9" s="6">
        <f t="shared" si="5"/>
        <v>2.321849600890592</v>
      </c>
      <c r="CR9" s="6">
        <f t="shared" si="6"/>
        <v>4.724323516198362</v>
      </c>
      <c r="CS9" s="6">
        <f t="shared" si="7"/>
        <v>3.5230894867861413</v>
      </c>
      <c r="CT9" s="58">
        <f t="shared" si="8"/>
        <v>17632382.261352006</v>
      </c>
      <c r="CU9" s="58">
        <f t="shared" si="9"/>
        <v>35877034.469395585</v>
      </c>
      <c r="CV9" s="58">
        <f t="shared" si="10"/>
        <v>26754730.602764346</v>
      </c>
      <c r="CW9">
        <f t="shared" si="11"/>
        <v>24830875701.678284</v>
      </c>
      <c r="CX9">
        <f t="shared" si="12"/>
        <v>62906493339.00355</v>
      </c>
      <c r="CY9">
        <f t="shared" si="13"/>
        <v>43868684519.988976</v>
      </c>
      <c r="CZ9" s="59">
        <v>1119.63</v>
      </c>
      <c r="DA9" s="59">
        <v>59.2235</v>
      </c>
      <c r="DB9" s="6">
        <v>7.57</v>
      </c>
      <c r="DC9" s="6">
        <v>7.16</v>
      </c>
      <c r="DD9" s="6">
        <v>2.13</v>
      </c>
      <c r="DE9" s="6">
        <v>5.93</v>
      </c>
      <c r="DF9" s="6">
        <v>0.09</v>
      </c>
      <c r="DG9" s="6">
        <v>50.94</v>
      </c>
      <c r="DH9" s="6">
        <v>3.18</v>
      </c>
      <c r="DI9" s="6">
        <v>7.37</v>
      </c>
      <c r="DJ9" s="6">
        <v>0.87</v>
      </c>
      <c r="DK9" s="6">
        <v>2.21</v>
      </c>
      <c r="DL9" s="6">
        <v>12.08</v>
      </c>
      <c r="DM9" s="6">
        <v>0.3</v>
      </c>
      <c r="DN9" s="6">
        <v>0.06</v>
      </c>
      <c r="DO9" s="6">
        <v>0.12</v>
      </c>
      <c r="DP9" s="6">
        <v>254.728</v>
      </c>
      <c r="DQ9" t="s">
        <v>433</v>
      </c>
      <c r="DR9" t="s">
        <v>441</v>
      </c>
      <c r="DS9" s="59">
        <v>1</v>
      </c>
      <c r="DT9">
        <v>2</v>
      </c>
      <c r="DU9">
        <f t="shared" si="14"/>
        <v>0</v>
      </c>
      <c r="DV9">
        <f t="shared" si="15"/>
        <v>1</v>
      </c>
      <c r="DW9">
        <f t="shared" si="16"/>
        <v>0</v>
      </c>
      <c r="DX9">
        <f t="shared" si="17"/>
        <v>0.9130072</v>
      </c>
      <c r="DY9" s="59">
        <f t="shared" si="18"/>
        <v>272901.67425773485</v>
      </c>
      <c r="DZ9">
        <f t="shared" si="20"/>
        <v>272901.67425773485</v>
      </c>
      <c r="EA9">
        <f t="shared" si="21"/>
        <v>6440853.940783563</v>
      </c>
      <c r="EB9">
        <f t="shared" si="22"/>
        <v>138423554.95334646</v>
      </c>
      <c r="EC9">
        <f t="shared" si="23"/>
        <v>10141604.718658308</v>
      </c>
      <c r="ED9" s="7">
        <f t="shared" si="19"/>
        <v>0.8522061972472796</v>
      </c>
      <c r="EE9">
        <f t="shared" si="24"/>
        <v>272901.67425773485</v>
      </c>
      <c r="EF9">
        <f t="shared" si="25"/>
        <v>6440853.940783563</v>
      </c>
      <c r="EG9">
        <f t="shared" si="26"/>
        <v>138423554.95334646</v>
      </c>
      <c r="EH9">
        <f t="shared" si="27"/>
        <v>10141604.718658308</v>
      </c>
      <c r="EI9">
        <f t="shared" si="28"/>
        <v>0</v>
      </c>
      <c r="EJ9">
        <f t="shared" si="29"/>
        <v>0</v>
      </c>
      <c r="EK9">
        <f t="shared" si="30"/>
        <v>0</v>
      </c>
      <c r="EL9">
        <f t="shared" si="31"/>
        <v>0</v>
      </c>
    </row>
    <row r="10" spans="1:142" ht="12.75">
      <c r="A10" s="55" t="s">
        <v>442</v>
      </c>
      <c r="B10" t="s">
        <v>443</v>
      </c>
      <c r="C10" s="7">
        <v>11.916140859411708</v>
      </c>
      <c r="D10" s="7">
        <v>8.387103091084311</v>
      </c>
      <c r="E10" s="7">
        <v>5.041940549816123</v>
      </c>
      <c r="F10" s="7">
        <v>5.917774934831826</v>
      </c>
      <c r="G10" s="7">
        <v>5.4798577423239765</v>
      </c>
      <c r="H10" s="7">
        <v>6.720285931802684</v>
      </c>
      <c r="I10" s="7">
        <v>19.186805807810003</v>
      </c>
      <c r="J10" s="7">
        <v>12.953545240028687</v>
      </c>
      <c r="K10" s="7">
        <v>0.8340084197219606</v>
      </c>
      <c r="L10" s="7">
        <v>1.0281311038146514</v>
      </c>
      <c r="M10" s="7">
        <v>0.931069761768306</v>
      </c>
      <c r="N10" s="7">
        <v>1.2538121900865498</v>
      </c>
      <c r="O10" s="7">
        <v>3.9419415851617114</v>
      </c>
      <c r="P10" s="7">
        <v>2.5978768876241296</v>
      </c>
      <c r="Q10" s="7">
        <v>0.045253076569069114</v>
      </c>
      <c r="R10" s="7">
        <v>0.08156594804102965</v>
      </c>
      <c r="S10" s="7">
        <v>0.06340910810747133</v>
      </c>
      <c r="T10" s="7">
        <v>1.6495132654331328</v>
      </c>
      <c r="U10" s="7">
        <v>5.395365109080247</v>
      </c>
      <c r="V10" s="7">
        <v>3.522439817034346</v>
      </c>
      <c r="W10" s="7">
        <v>4.402906829493814</v>
      </c>
      <c r="X10" s="7">
        <v>11.01743727075192</v>
      </c>
      <c r="Y10" s="7">
        <v>7.710174042545302</v>
      </c>
      <c r="Z10" s="7">
        <v>5.06493080689799</v>
      </c>
      <c r="AA10" s="7">
        <v>5.998059260351616</v>
      </c>
      <c r="AB10" s="7">
        <v>5.531495338545054</v>
      </c>
      <c r="AC10" s="7">
        <v>7.28767483613119</v>
      </c>
      <c r="AD10" s="7">
        <v>18.891060611245965</v>
      </c>
      <c r="AE10" s="7">
        <v>13.08936812788616</v>
      </c>
      <c r="AF10" s="7">
        <v>0.9424373488020725</v>
      </c>
      <c r="AG10" s="7">
        <v>1.1814699747766024</v>
      </c>
      <c r="AH10" s="7">
        <v>1.0619559073597915</v>
      </c>
      <c r="AI10" s="7">
        <v>1.4770026449597975</v>
      </c>
      <c r="AJ10" s="7">
        <v>5.240646150783764</v>
      </c>
      <c r="AK10" s="7">
        <v>3.3588244810099566</v>
      </c>
      <c r="AL10" s="7">
        <v>0.046171278538472305</v>
      </c>
      <c r="AM10" s="7">
        <v>0.07693099658654784</v>
      </c>
      <c r="AN10" s="7">
        <v>0.06155168643971334</v>
      </c>
      <c r="AO10" s="7">
        <v>1.237004797622895</v>
      </c>
      <c r="AP10" s="7">
        <v>4.256423569625177</v>
      </c>
      <c r="AQ10" s="7">
        <v>2.746711318034945</v>
      </c>
      <c r="AR10" s="7">
        <v>2.7964393508768266</v>
      </c>
      <c r="AS10" s="7">
        <v>6.652797096579245</v>
      </c>
      <c r="AT10" s="7">
        <v>4.724617819530457</v>
      </c>
      <c r="AU10" s="7">
        <v>5.1455834218349565</v>
      </c>
      <c r="AV10" s="7">
        <v>6.07761516614443</v>
      </c>
      <c r="AW10" s="7">
        <v>5.611599933083329</v>
      </c>
      <c r="AX10" s="7">
        <v>4.063040905981322</v>
      </c>
      <c r="AY10" s="7">
        <v>10.835751129317934</v>
      </c>
      <c r="AZ10" s="7">
        <v>7.449396421847205</v>
      </c>
      <c r="BA10" s="7">
        <v>1.1432023752768357</v>
      </c>
      <c r="BB10" s="7">
        <v>1.4273563203098771</v>
      </c>
      <c r="BC10" s="7">
        <v>1.2852793477933562</v>
      </c>
      <c r="BD10" s="7">
        <v>1.714867197787828</v>
      </c>
      <c r="BE10" s="7">
        <v>6.934436166215293</v>
      </c>
      <c r="BF10" s="7">
        <v>4.32465168200156</v>
      </c>
      <c r="BG10" s="7">
        <v>0.026382383413961683</v>
      </c>
      <c r="BH10" s="7">
        <v>0.0496266632816994</v>
      </c>
      <c r="BI10" s="7">
        <v>0.038004927545408594</v>
      </c>
      <c r="BJ10" s="7">
        <v>0.4632985811790345</v>
      </c>
      <c r="BK10" s="7">
        <v>1.7089741659973732</v>
      </c>
      <c r="BL10" s="7">
        <v>1.086135969390626</v>
      </c>
      <c r="BM10" s="56">
        <v>17186.73790681446</v>
      </c>
      <c r="BN10" s="56">
        <v>46514.172394076006</v>
      </c>
      <c r="BO10" s="56">
        <v>31850.45515044721</v>
      </c>
      <c r="BP10" s="56">
        <v>60510.741523348</v>
      </c>
      <c r="BQ10" s="56">
        <v>148132.0492250528</v>
      </c>
      <c r="BR10" s="56">
        <v>104321.39537197976</v>
      </c>
      <c r="BS10" s="7">
        <f t="shared" si="0"/>
        <v>10.806214867899085</v>
      </c>
      <c r="BT10" s="56">
        <v>83123891.28372158</v>
      </c>
      <c r="BU10" s="8">
        <v>199903166.927</v>
      </c>
      <c r="BV10" s="57">
        <f t="shared" si="1"/>
        <v>41.58207824395124</v>
      </c>
      <c r="BW10">
        <v>43971107.474252455</v>
      </c>
      <c r="BX10">
        <v>7056.48993705</v>
      </c>
      <c r="BY10">
        <v>23177492.00045292</v>
      </c>
      <c r="BZ10">
        <v>9999882.49938188</v>
      </c>
      <c r="CA10">
        <v>0</v>
      </c>
      <c r="CB10">
        <v>1004997.3310569801</v>
      </c>
      <c r="CC10">
        <v>20918880.853257474</v>
      </c>
      <c r="CD10">
        <v>7927554.885121661</v>
      </c>
      <c r="CE10" s="7">
        <v>52.898278455430614</v>
      </c>
      <c r="CF10" s="7">
        <v>0.008489123678010363</v>
      </c>
      <c r="CG10" s="7">
        <v>27.883069046109306</v>
      </c>
      <c r="CH10" s="7">
        <v>12.030094290521008</v>
      </c>
      <c r="CI10" s="7">
        <v>0</v>
      </c>
      <c r="CJ10" s="7">
        <v>1.2090354716752678</v>
      </c>
      <c r="CK10" s="7">
        <v>25.165906612644452</v>
      </c>
      <c r="CL10" s="7">
        <v>9.537035336884115</v>
      </c>
      <c r="CM10" s="7">
        <v>0.021228407789446194</v>
      </c>
      <c r="CN10" s="56">
        <f t="shared" si="2"/>
        <v>3435683.336716529</v>
      </c>
      <c r="CO10" s="56">
        <f t="shared" si="3"/>
        <v>92983303.6856423</v>
      </c>
      <c r="CP10" s="56">
        <f t="shared" si="4"/>
        <v>6367006.852640775</v>
      </c>
      <c r="CQ10" s="6">
        <f t="shared" si="5"/>
        <v>2.284324805687245</v>
      </c>
      <c r="CR10" s="6">
        <f t="shared" si="6"/>
        <v>4.016175213330289</v>
      </c>
      <c r="CS10" s="6">
        <f t="shared" si="7"/>
        <v>3.1502680329325825</v>
      </c>
      <c r="CT10" s="58">
        <f t="shared" si="8"/>
        <v>11601721.61958293</v>
      </c>
      <c r="CU10" s="58">
        <f t="shared" si="9"/>
        <v>20397513.823131215</v>
      </c>
      <c r="CV10" s="58">
        <f t="shared" si="10"/>
        <v>15999709.259454116</v>
      </c>
      <c r="CW10">
        <f t="shared" si="11"/>
        <v>12096288863.618385</v>
      </c>
      <c r="CX10">
        <f t="shared" si="12"/>
        <v>29612065763.474308</v>
      </c>
      <c r="CY10">
        <f t="shared" si="13"/>
        <v>20854177313.102432</v>
      </c>
      <c r="CZ10" s="59">
        <v>965.031</v>
      </c>
      <c r="DA10" s="59">
        <v>60.0502</v>
      </c>
      <c r="DB10" s="6">
        <v>3.97</v>
      </c>
      <c r="DC10" s="6">
        <v>8.77</v>
      </c>
      <c r="DD10" s="6">
        <v>2.76</v>
      </c>
      <c r="DE10" s="6">
        <v>4.69</v>
      </c>
      <c r="DF10" s="6">
        <v>0.24</v>
      </c>
      <c r="DG10" s="6">
        <v>55.39</v>
      </c>
      <c r="DH10" s="6">
        <v>1.91</v>
      </c>
      <c r="DI10" s="6">
        <v>6.85</v>
      </c>
      <c r="DJ10" s="6">
        <v>0.96</v>
      </c>
      <c r="DK10" s="6">
        <v>2.16</v>
      </c>
      <c r="DL10" s="6">
        <v>11.54</v>
      </c>
      <c r="DM10" s="6">
        <v>0.41</v>
      </c>
      <c r="DN10" s="6">
        <v>0.08</v>
      </c>
      <c r="DO10" s="6">
        <v>0.28</v>
      </c>
      <c r="DP10" s="6">
        <v>236.058</v>
      </c>
      <c r="DQ10" t="s">
        <v>441</v>
      </c>
      <c r="DR10" t="s">
        <v>441</v>
      </c>
      <c r="DS10" s="59">
        <v>1</v>
      </c>
      <c r="DT10">
        <v>2</v>
      </c>
      <c r="DU10">
        <f t="shared" si="14"/>
        <v>0</v>
      </c>
      <c r="DV10">
        <f t="shared" si="15"/>
        <v>1</v>
      </c>
      <c r="DW10">
        <f t="shared" si="16"/>
        <v>0</v>
      </c>
      <c r="DX10">
        <f t="shared" si="17"/>
        <v>0.9995826400000001</v>
      </c>
      <c r="DY10" s="59">
        <f t="shared" si="18"/>
        <v>199819.73534125133</v>
      </c>
      <c r="DZ10">
        <f t="shared" si="20"/>
        <v>199819.73534125133</v>
      </c>
      <c r="EA10">
        <f t="shared" si="21"/>
        <v>3435683.336716529</v>
      </c>
      <c r="EB10">
        <f t="shared" si="22"/>
        <v>92983303.6856423</v>
      </c>
      <c r="EC10">
        <f t="shared" si="23"/>
        <v>6367006.852640775</v>
      </c>
      <c r="ED10" s="7">
        <f t="shared" si="19"/>
        <v>1.1808617323516586</v>
      </c>
      <c r="EE10">
        <f t="shared" si="24"/>
        <v>199819.73534125133</v>
      </c>
      <c r="EF10">
        <f t="shared" si="25"/>
        <v>3435683.336716529</v>
      </c>
      <c r="EG10">
        <f t="shared" si="26"/>
        <v>92983303.6856423</v>
      </c>
      <c r="EH10">
        <f t="shared" si="27"/>
        <v>6367006.852640775</v>
      </c>
      <c r="EI10">
        <f t="shared" si="28"/>
        <v>0</v>
      </c>
      <c r="EJ10">
        <f t="shared" si="29"/>
        <v>0</v>
      </c>
      <c r="EK10">
        <f t="shared" si="30"/>
        <v>0</v>
      </c>
      <c r="EL10">
        <f t="shared" si="31"/>
        <v>0</v>
      </c>
    </row>
    <row r="11" spans="1:142" ht="12.75">
      <c r="A11" s="55" t="s">
        <v>444</v>
      </c>
      <c r="B11" s="60" t="s">
        <v>445</v>
      </c>
      <c r="C11" s="61">
        <v>46.94687334896178</v>
      </c>
      <c r="D11" s="61">
        <v>35.326144199531626</v>
      </c>
      <c r="E11" s="61">
        <v>5.05358459501433</v>
      </c>
      <c r="F11" s="61">
        <v>5.5866378818570865</v>
      </c>
      <c r="G11" s="61">
        <v>5.320111238435708</v>
      </c>
      <c r="H11" s="61">
        <v>5.067962294185902</v>
      </c>
      <c r="I11" s="61">
        <v>10.34972033751479</v>
      </c>
      <c r="J11" s="61">
        <v>7.7088413158503455</v>
      </c>
      <c r="K11" s="61">
        <v>0.8453264236145979</v>
      </c>
      <c r="L11" s="61">
        <v>1.096866098888498</v>
      </c>
      <c r="M11" s="61">
        <v>0.9710962612515481</v>
      </c>
      <c r="N11" s="61">
        <v>1.9835909201349253</v>
      </c>
      <c r="O11" s="61">
        <v>5.953260156120139</v>
      </c>
      <c r="P11" s="61">
        <v>3.9684255381275326</v>
      </c>
      <c r="Q11" s="61">
        <v>0.05618897254038526</v>
      </c>
      <c r="R11" s="61">
        <v>0.0870638121003016</v>
      </c>
      <c r="S11" s="61">
        <v>0.07162639232034344</v>
      </c>
      <c r="T11" s="61">
        <v>2.0082739737440867</v>
      </c>
      <c r="U11" s="61">
        <v>3.9172205247516776</v>
      </c>
      <c r="V11" s="61">
        <v>2.9627472492478817</v>
      </c>
      <c r="W11" s="61">
        <v>24.930972274356048</v>
      </c>
      <c r="X11" s="61">
        <v>41.188191062992246</v>
      </c>
      <c r="Y11" s="61">
        <v>33.05958164597472</v>
      </c>
      <c r="Z11" s="61">
        <v>5.275598349365264</v>
      </c>
      <c r="AA11" s="61">
        <v>5.795896802048715</v>
      </c>
      <c r="AB11" s="61">
        <v>5.5357472698607735</v>
      </c>
      <c r="AC11" s="61">
        <v>6.5958139615550495</v>
      </c>
      <c r="AD11" s="61">
        <v>11.912594983291418</v>
      </c>
      <c r="AE11" s="61">
        <v>9.254204472423233</v>
      </c>
      <c r="AF11" s="61">
        <v>1.232691085330392</v>
      </c>
      <c r="AG11" s="61">
        <v>1.4957397929885456</v>
      </c>
      <c r="AH11" s="61">
        <v>1.3642158833916955</v>
      </c>
      <c r="AI11" s="61">
        <v>1.1411591745548157</v>
      </c>
      <c r="AJ11" s="61">
        <v>3.508309919409794</v>
      </c>
      <c r="AK11" s="61">
        <v>2.3247345469823055</v>
      </c>
      <c r="AL11" s="61">
        <v>0.04945220723286618</v>
      </c>
      <c r="AM11" s="61">
        <v>0.07917090063966123</v>
      </c>
      <c r="AN11" s="61">
        <v>0.06431211419489338</v>
      </c>
      <c r="AO11" s="61">
        <v>1.1972468555631874</v>
      </c>
      <c r="AP11" s="61">
        <v>2.48377787790577</v>
      </c>
      <c r="AQ11" s="61">
        <v>1.8405128021586301</v>
      </c>
      <c r="AR11" s="61">
        <v>25.616192882046175</v>
      </c>
      <c r="AS11" s="61">
        <v>34.4643070477633</v>
      </c>
      <c r="AT11" s="61">
        <v>30.040249964904742</v>
      </c>
      <c r="AU11" s="61">
        <v>5.505286853374426</v>
      </c>
      <c r="AV11" s="61">
        <v>6.003526531734827</v>
      </c>
      <c r="AW11" s="61">
        <v>5.754406692554625</v>
      </c>
      <c r="AX11" s="61">
        <v>6.4149913230860225</v>
      </c>
      <c r="AY11" s="61">
        <v>11.562741591093461</v>
      </c>
      <c r="AZ11" s="61">
        <v>8.98886645708974</v>
      </c>
      <c r="BA11" s="61">
        <v>1.5884321176596632</v>
      </c>
      <c r="BB11" s="61">
        <v>1.8712342951188168</v>
      </c>
      <c r="BC11" s="61">
        <v>1.7298332063892399</v>
      </c>
      <c r="BD11" s="61">
        <v>0.40953498609684325</v>
      </c>
      <c r="BE11" s="61">
        <v>1.3836721798979457</v>
      </c>
      <c r="BF11" s="61">
        <v>0.8966035829973943</v>
      </c>
      <c r="BG11" s="61">
        <v>0.04711810923184396</v>
      </c>
      <c r="BH11" s="61">
        <v>0.0755838492514854</v>
      </c>
      <c r="BI11" s="61">
        <v>0.06135097924166468</v>
      </c>
      <c r="BJ11" s="61">
        <v>0.7799939471172376</v>
      </c>
      <c r="BK11" s="61">
        <v>1.580081387402873</v>
      </c>
      <c r="BL11" s="61">
        <v>1.1800376672600554</v>
      </c>
      <c r="BM11" s="62">
        <v>22984.123370849564</v>
      </c>
      <c r="BN11" s="62">
        <v>37695.040853912404</v>
      </c>
      <c r="BO11" s="62">
        <v>30339.582112761364</v>
      </c>
      <c r="BP11" s="62">
        <v>561795.6275362266</v>
      </c>
      <c r="BQ11" s="62">
        <v>862125.3051433252</v>
      </c>
      <c r="BR11" s="62">
        <v>711960.4663397761</v>
      </c>
      <c r="BS11" s="7">
        <f t="shared" si="0"/>
        <v>8.838996634975258</v>
      </c>
      <c r="BT11" s="62">
        <v>14572136.499855738</v>
      </c>
      <c r="BU11" s="8">
        <v>14574813.456286224</v>
      </c>
      <c r="BV11" s="57">
        <f t="shared" si="1"/>
        <v>99.98163299696073</v>
      </c>
      <c r="BW11">
        <v>0</v>
      </c>
      <c r="BX11">
        <v>36737.94142794</v>
      </c>
      <c r="BY11">
        <v>0</v>
      </c>
      <c r="BZ11">
        <v>14218134.354931619</v>
      </c>
      <c r="CA11">
        <v>166696.2151219</v>
      </c>
      <c r="CB11">
        <v>275159.16994627996</v>
      </c>
      <c r="CC11">
        <v>0</v>
      </c>
      <c r="CD11">
        <v>0</v>
      </c>
      <c r="CE11" s="61">
        <v>0</v>
      </c>
      <c r="CF11" s="61">
        <v>0.2521108790622686</v>
      </c>
      <c r="CG11" s="61">
        <v>0</v>
      </c>
      <c r="CH11" s="61">
        <v>97.5706915391053</v>
      </c>
      <c r="CI11" s="61">
        <v>1.143938056876905</v>
      </c>
      <c r="CJ11" s="61">
        <v>1.8882555070013514</v>
      </c>
      <c r="CK11" s="61">
        <v>0</v>
      </c>
      <c r="CL11" s="61">
        <v>0</v>
      </c>
      <c r="CM11" s="61">
        <v>1.4106243463592727</v>
      </c>
      <c r="CN11" s="56">
        <f t="shared" si="2"/>
        <v>334989.31058640085</v>
      </c>
      <c r="CO11" s="56">
        <f t="shared" si="3"/>
        <v>5493981.886728615</v>
      </c>
      <c r="CP11" s="56">
        <f t="shared" si="4"/>
        <v>442193.7496351751</v>
      </c>
      <c r="CQ11" s="6">
        <f t="shared" si="5"/>
        <v>2.9919552656376665</v>
      </c>
      <c r="CR11" s="6">
        <f t="shared" si="6"/>
        <v>4.758879742591138</v>
      </c>
      <c r="CS11" s="6">
        <f t="shared" si="7"/>
        <v>3.875430950321515</v>
      </c>
      <c r="CT11" s="58">
        <f t="shared" si="8"/>
        <v>1107906.2466011757</v>
      </c>
      <c r="CU11" s="58">
        <f t="shared" si="9"/>
        <v>1762189.6470824503</v>
      </c>
      <c r="CV11" s="58">
        <f t="shared" si="10"/>
        <v>1435052.9259058468</v>
      </c>
      <c r="CW11">
        <f t="shared" si="11"/>
        <v>8188066471.897759</v>
      </c>
      <c r="CX11">
        <f t="shared" si="12"/>
        <v>12565315498.407803</v>
      </c>
      <c r="CY11">
        <f t="shared" si="13"/>
        <v>10376690985.152782</v>
      </c>
      <c r="CZ11" s="63">
        <v>189.306</v>
      </c>
      <c r="DA11" s="63">
        <v>14.2655</v>
      </c>
      <c r="DB11" s="6">
        <v>0.03</v>
      </c>
      <c r="DC11" s="6">
        <v>3.35</v>
      </c>
      <c r="DD11" s="6">
        <v>5.12</v>
      </c>
      <c r="DE11" s="6">
        <v>7.85</v>
      </c>
      <c r="DF11" s="6">
        <v>1.04</v>
      </c>
      <c r="DG11" s="6">
        <v>58.81</v>
      </c>
      <c r="DH11" s="6">
        <v>18.94</v>
      </c>
      <c r="DI11" s="6">
        <v>0</v>
      </c>
      <c r="DJ11" s="6">
        <v>0.01</v>
      </c>
      <c r="DK11" s="6">
        <v>4.76</v>
      </c>
      <c r="DL11" s="6">
        <v>0</v>
      </c>
      <c r="DM11" s="6">
        <v>0.08</v>
      </c>
      <c r="DN11" s="6">
        <v>0</v>
      </c>
      <c r="DO11" s="6">
        <v>0.03</v>
      </c>
      <c r="DP11" s="6">
        <v>30.8688</v>
      </c>
      <c r="DQ11" t="s">
        <v>441</v>
      </c>
      <c r="DR11" t="s">
        <v>441</v>
      </c>
      <c r="DS11" s="59">
        <v>1</v>
      </c>
      <c r="DT11">
        <v>1</v>
      </c>
      <c r="DU11">
        <f t="shared" si="14"/>
        <v>1</v>
      </c>
      <c r="DV11">
        <f t="shared" si="15"/>
        <v>0</v>
      </c>
      <c r="DW11">
        <f t="shared" si="16"/>
        <v>0</v>
      </c>
      <c r="DX11">
        <f t="shared" si="17"/>
        <v>1.43398864</v>
      </c>
      <c r="DY11" s="59">
        <f t="shared" si="18"/>
        <v>20900.11692643358</v>
      </c>
      <c r="DZ11">
        <f t="shared" si="20"/>
        <v>20900.11692643358</v>
      </c>
      <c r="EA11">
        <f t="shared" si="21"/>
        <v>334989.31058640085</v>
      </c>
      <c r="EB11">
        <f t="shared" si="22"/>
        <v>5493981.886728615</v>
      </c>
      <c r="EC11">
        <f t="shared" si="23"/>
        <v>442193.7496351751</v>
      </c>
      <c r="ED11" s="7">
        <f t="shared" si="19"/>
        <v>2.1179550662918474</v>
      </c>
      <c r="EE11">
        <f t="shared" si="24"/>
        <v>0</v>
      </c>
      <c r="EF11">
        <f t="shared" si="25"/>
        <v>0</v>
      </c>
      <c r="EG11">
        <f t="shared" si="26"/>
        <v>0</v>
      </c>
      <c r="EH11">
        <f t="shared" si="27"/>
        <v>0</v>
      </c>
      <c r="EI11">
        <f t="shared" si="28"/>
        <v>20900.11692643358</v>
      </c>
      <c r="EJ11">
        <f t="shared" si="29"/>
        <v>334989.31058640085</v>
      </c>
      <c r="EK11">
        <f t="shared" si="30"/>
        <v>5493981.886728615</v>
      </c>
      <c r="EL11">
        <f t="shared" si="31"/>
        <v>442193.7496351751</v>
      </c>
    </row>
    <row r="12" spans="1:142" ht="12.75">
      <c r="A12" s="55" t="s">
        <v>446</v>
      </c>
      <c r="B12" s="60" t="s">
        <v>447</v>
      </c>
      <c r="C12" s="61">
        <v>50</v>
      </c>
      <c r="D12" s="61">
        <v>37.5</v>
      </c>
      <c r="E12" s="61">
        <v>5.1</v>
      </c>
      <c r="F12" s="61">
        <v>5.5</v>
      </c>
      <c r="G12" s="61">
        <v>5.3</v>
      </c>
      <c r="H12" s="61">
        <v>5</v>
      </c>
      <c r="I12" s="61">
        <v>10</v>
      </c>
      <c r="J12" s="61">
        <v>7.5</v>
      </c>
      <c r="K12" s="61">
        <v>0.85</v>
      </c>
      <c r="L12" s="61">
        <v>1.1</v>
      </c>
      <c r="M12" s="61">
        <v>0.975</v>
      </c>
      <c r="N12" s="61">
        <v>2</v>
      </c>
      <c r="O12" s="61">
        <v>6</v>
      </c>
      <c r="P12" s="61">
        <v>4</v>
      </c>
      <c r="Q12" s="61">
        <v>0.04</v>
      </c>
      <c r="R12" s="61">
        <v>0.07</v>
      </c>
      <c r="S12" s="61">
        <v>0.055</v>
      </c>
      <c r="T12" s="61">
        <v>1</v>
      </c>
      <c r="U12" s="61">
        <v>2</v>
      </c>
      <c r="V12" s="61">
        <v>1.5</v>
      </c>
      <c r="W12" s="61">
        <v>27.5</v>
      </c>
      <c r="X12" s="61">
        <v>45</v>
      </c>
      <c r="Y12" s="61">
        <v>36.25</v>
      </c>
      <c r="Z12" s="61">
        <v>5.35</v>
      </c>
      <c r="AA12" s="61">
        <v>5.75</v>
      </c>
      <c r="AB12" s="61">
        <v>5.55</v>
      </c>
      <c r="AC12" s="61">
        <v>5</v>
      </c>
      <c r="AD12" s="61">
        <v>10</v>
      </c>
      <c r="AE12" s="61">
        <v>7.5</v>
      </c>
      <c r="AF12" s="61">
        <v>1.275</v>
      </c>
      <c r="AG12" s="61">
        <v>1.55</v>
      </c>
      <c r="AH12" s="61">
        <v>1.4125</v>
      </c>
      <c r="AI12" s="61">
        <v>1.0005</v>
      </c>
      <c r="AJ12" s="61">
        <v>3.03</v>
      </c>
      <c r="AK12" s="61">
        <v>2.01525</v>
      </c>
      <c r="AL12" s="61">
        <v>0.04</v>
      </c>
      <c r="AM12" s="61">
        <v>0.07</v>
      </c>
      <c r="AN12" s="61">
        <v>0.055</v>
      </c>
      <c r="AO12" s="61">
        <v>0.75</v>
      </c>
      <c r="AP12" s="61">
        <v>1.5</v>
      </c>
      <c r="AQ12" s="61">
        <v>1.125</v>
      </c>
      <c r="AR12" s="61">
        <v>30</v>
      </c>
      <c r="AS12" s="61">
        <v>40</v>
      </c>
      <c r="AT12" s="61">
        <v>35</v>
      </c>
      <c r="AU12" s="61">
        <v>5.6</v>
      </c>
      <c r="AV12" s="61">
        <v>6</v>
      </c>
      <c r="AW12" s="61">
        <v>5.8</v>
      </c>
      <c r="AX12" s="61">
        <v>5</v>
      </c>
      <c r="AY12" s="61">
        <v>10</v>
      </c>
      <c r="AZ12" s="61">
        <v>7.5</v>
      </c>
      <c r="BA12" s="61">
        <v>1.7</v>
      </c>
      <c r="BB12" s="61">
        <v>2</v>
      </c>
      <c r="BC12" s="61">
        <v>1.85</v>
      </c>
      <c r="BD12" s="61">
        <v>0.001</v>
      </c>
      <c r="BE12" s="61">
        <v>0.06</v>
      </c>
      <c r="BF12" s="61">
        <v>0.030500000000000003</v>
      </c>
      <c r="BG12" s="61">
        <v>0.04</v>
      </c>
      <c r="BH12" s="61">
        <v>0.07</v>
      </c>
      <c r="BI12" s="61">
        <v>0.055</v>
      </c>
      <c r="BJ12" s="61">
        <v>0.5</v>
      </c>
      <c r="BK12" s="61">
        <v>1</v>
      </c>
      <c r="BL12" s="61">
        <v>0.75</v>
      </c>
      <c r="BM12" s="62">
        <v>16535.4</v>
      </c>
      <c r="BN12" s="62">
        <v>27203.4</v>
      </c>
      <c r="BO12" s="62">
        <v>21869.4</v>
      </c>
      <c r="BP12" s="62">
        <v>649414.5</v>
      </c>
      <c r="BQ12" s="62">
        <v>987171</v>
      </c>
      <c r="BR12" s="62">
        <v>818292.75</v>
      </c>
      <c r="BS12" s="7">
        <f t="shared" si="0"/>
        <v>7.5</v>
      </c>
      <c r="BT12" s="62">
        <v>1819499.3984581076</v>
      </c>
      <c r="BU12" s="8">
        <v>1828500</v>
      </c>
      <c r="BV12" s="57">
        <v>99.5077603750674</v>
      </c>
      <c r="BW12" s="22">
        <v>0</v>
      </c>
      <c r="BX12" s="22">
        <v>0</v>
      </c>
      <c r="BY12" s="22">
        <v>0</v>
      </c>
      <c r="BZ12" s="22">
        <v>1760740.1542657963</v>
      </c>
      <c r="CA12" s="22">
        <v>0</v>
      </c>
      <c r="CB12" s="22">
        <v>0</v>
      </c>
      <c r="CC12" s="22">
        <v>0</v>
      </c>
      <c r="CD12" s="22">
        <v>0</v>
      </c>
      <c r="CE12" s="61">
        <v>0</v>
      </c>
      <c r="CF12" s="61">
        <v>0</v>
      </c>
      <c r="CG12" s="61">
        <v>0</v>
      </c>
      <c r="CH12" s="61">
        <v>100</v>
      </c>
      <c r="CI12" s="61">
        <v>0</v>
      </c>
      <c r="CJ12" s="61">
        <v>0</v>
      </c>
      <c r="CK12" s="61">
        <v>0</v>
      </c>
      <c r="CL12" s="61">
        <v>0</v>
      </c>
      <c r="CM12" s="61">
        <v>0</v>
      </c>
      <c r="CN12" s="56">
        <f t="shared" si="2"/>
        <v>30234.978900000006</v>
      </c>
      <c r="CO12" s="56">
        <f t="shared" si="3"/>
        <v>497414.169</v>
      </c>
      <c r="CP12" s="56">
        <f t="shared" si="4"/>
        <v>39988.1979</v>
      </c>
      <c r="CQ12" s="6">
        <f t="shared" si="5"/>
        <v>2.4</v>
      </c>
      <c r="CR12" s="6">
        <f t="shared" si="6"/>
        <v>4.200000000000001</v>
      </c>
      <c r="CS12" s="6">
        <f t="shared" si="7"/>
        <v>3.3</v>
      </c>
      <c r="CT12" s="58">
        <f t="shared" si="8"/>
        <v>111493.90243902439</v>
      </c>
      <c r="CU12" s="58">
        <f t="shared" si="9"/>
        <v>195114.32926829273</v>
      </c>
      <c r="CV12" s="58">
        <f t="shared" si="10"/>
        <v>153304.11585365853</v>
      </c>
      <c r="CW12">
        <f t="shared" si="11"/>
        <v>1187454413.25</v>
      </c>
      <c r="CX12">
        <f t="shared" si="12"/>
        <v>1805042173.5</v>
      </c>
      <c r="CY12">
        <f t="shared" si="13"/>
        <v>1496248293.375</v>
      </c>
      <c r="CZ12" s="63">
        <v>145.40606163069444</v>
      </c>
      <c r="DA12" s="63">
        <v>11.190222302270236</v>
      </c>
      <c r="DB12" s="6">
        <v>0.6177076183939602</v>
      </c>
      <c r="DC12" s="6">
        <v>10.358481600760255</v>
      </c>
      <c r="DD12" s="6">
        <v>5.9394963307111555</v>
      </c>
      <c r="DE12" s="6">
        <v>11.546380866902487</v>
      </c>
      <c r="DF12" s="6">
        <v>0</v>
      </c>
      <c r="DG12" s="6">
        <v>30.647801066469565</v>
      </c>
      <c r="DH12" s="6">
        <v>19.148936170212767</v>
      </c>
      <c r="DI12" s="6">
        <v>0</v>
      </c>
      <c r="DJ12" s="6">
        <v>0</v>
      </c>
      <c r="DK12" s="6">
        <v>21.762314555725673</v>
      </c>
      <c r="DL12" s="6">
        <v>0</v>
      </c>
      <c r="DM12" s="6">
        <v>0</v>
      </c>
      <c r="DN12" s="6">
        <v>0</v>
      </c>
      <c r="DO12" s="6">
        <v>0</v>
      </c>
      <c r="DP12" s="64">
        <v>0</v>
      </c>
      <c r="DQ12" t="s">
        <v>441</v>
      </c>
      <c r="DR12" t="s">
        <v>441</v>
      </c>
      <c r="DS12" s="59">
        <v>1</v>
      </c>
      <c r="DT12">
        <v>1</v>
      </c>
      <c r="DU12">
        <f t="shared" si="14"/>
        <v>1</v>
      </c>
      <c r="DV12">
        <f t="shared" si="15"/>
        <v>0</v>
      </c>
      <c r="DW12">
        <f t="shared" si="16"/>
        <v>0</v>
      </c>
      <c r="DX12">
        <f t="shared" si="17"/>
        <v>1.4585726054868111</v>
      </c>
      <c r="DY12" s="59">
        <f t="shared" si="18"/>
        <v>2667.0000091326337</v>
      </c>
      <c r="DZ12">
        <f t="shared" si="20"/>
        <v>2667.0000091326337</v>
      </c>
      <c r="EA12">
        <f t="shared" si="21"/>
        <v>30234.978900000006</v>
      </c>
      <c r="EB12">
        <f t="shared" si="22"/>
        <v>497414.169</v>
      </c>
      <c r="EC12">
        <f t="shared" si="23"/>
        <v>39988.1979</v>
      </c>
      <c r="ED12" s="7">
        <f t="shared" si="19"/>
        <v>0</v>
      </c>
      <c r="EE12">
        <f t="shared" si="24"/>
        <v>0</v>
      </c>
      <c r="EF12">
        <f t="shared" si="25"/>
        <v>0</v>
      </c>
      <c r="EG12">
        <f t="shared" si="26"/>
        <v>0</v>
      </c>
      <c r="EH12">
        <f t="shared" si="27"/>
        <v>0</v>
      </c>
      <c r="EI12">
        <f t="shared" si="28"/>
        <v>2667.0000091326337</v>
      </c>
      <c r="EJ12">
        <f t="shared" si="29"/>
        <v>30234.978900000006</v>
      </c>
      <c r="EK12">
        <f t="shared" si="30"/>
        <v>497414.169</v>
      </c>
      <c r="EL12">
        <f t="shared" si="31"/>
        <v>39988.1979</v>
      </c>
    </row>
    <row r="13" spans="1:142" ht="12.75">
      <c r="A13" s="55" t="s">
        <v>448</v>
      </c>
      <c r="B13" s="60" t="s">
        <v>449</v>
      </c>
      <c r="C13" s="61">
        <v>50</v>
      </c>
      <c r="D13" s="61">
        <v>37.5</v>
      </c>
      <c r="E13" s="61">
        <v>5.1</v>
      </c>
      <c r="F13" s="61">
        <v>5.5</v>
      </c>
      <c r="G13" s="61">
        <v>5.3</v>
      </c>
      <c r="H13" s="61">
        <v>5</v>
      </c>
      <c r="I13" s="61">
        <v>10</v>
      </c>
      <c r="J13" s="61">
        <v>7.5</v>
      </c>
      <c r="K13" s="61">
        <v>0.85</v>
      </c>
      <c r="L13" s="61">
        <v>1.1</v>
      </c>
      <c r="M13" s="61">
        <v>0.975</v>
      </c>
      <c r="N13" s="61">
        <v>2</v>
      </c>
      <c r="O13" s="61">
        <v>6</v>
      </c>
      <c r="P13" s="61">
        <v>4</v>
      </c>
      <c r="Q13" s="61">
        <v>0.04</v>
      </c>
      <c r="R13" s="61">
        <v>0.07</v>
      </c>
      <c r="S13" s="61">
        <v>0.055</v>
      </c>
      <c r="T13" s="61">
        <v>1</v>
      </c>
      <c r="U13" s="61">
        <v>2</v>
      </c>
      <c r="V13" s="61">
        <v>1.5</v>
      </c>
      <c r="W13" s="61">
        <v>27.5</v>
      </c>
      <c r="X13" s="61">
        <v>45</v>
      </c>
      <c r="Y13" s="61">
        <v>36.25</v>
      </c>
      <c r="Z13" s="61">
        <v>5.35</v>
      </c>
      <c r="AA13" s="61">
        <v>5.75</v>
      </c>
      <c r="AB13" s="61">
        <v>5.55</v>
      </c>
      <c r="AC13" s="61">
        <v>5</v>
      </c>
      <c r="AD13" s="61">
        <v>10</v>
      </c>
      <c r="AE13" s="61">
        <v>7.5</v>
      </c>
      <c r="AF13" s="61">
        <v>1.275</v>
      </c>
      <c r="AG13" s="61">
        <v>1.55</v>
      </c>
      <c r="AH13" s="61">
        <v>1.4125</v>
      </c>
      <c r="AI13" s="61">
        <v>1.0005</v>
      </c>
      <c r="AJ13" s="61">
        <v>3.03</v>
      </c>
      <c r="AK13" s="61">
        <v>2.01525</v>
      </c>
      <c r="AL13" s="61">
        <v>0.04</v>
      </c>
      <c r="AM13" s="61">
        <v>0.07</v>
      </c>
      <c r="AN13" s="61">
        <v>0.055</v>
      </c>
      <c r="AO13" s="61">
        <v>0.75</v>
      </c>
      <c r="AP13" s="61">
        <v>1.5</v>
      </c>
      <c r="AQ13" s="61">
        <v>1.125</v>
      </c>
      <c r="AR13" s="61">
        <v>30</v>
      </c>
      <c r="AS13" s="61">
        <v>40</v>
      </c>
      <c r="AT13" s="61">
        <v>35</v>
      </c>
      <c r="AU13" s="61">
        <v>5.6</v>
      </c>
      <c r="AV13" s="61">
        <v>6</v>
      </c>
      <c r="AW13" s="61">
        <v>5.8</v>
      </c>
      <c r="AX13" s="61">
        <v>5</v>
      </c>
      <c r="AY13" s="61">
        <v>10</v>
      </c>
      <c r="AZ13" s="61">
        <v>7.5</v>
      </c>
      <c r="BA13" s="61">
        <v>1.7</v>
      </c>
      <c r="BB13" s="61">
        <v>2</v>
      </c>
      <c r="BC13" s="61">
        <v>1.85</v>
      </c>
      <c r="BD13" s="61">
        <v>0.001</v>
      </c>
      <c r="BE13" s="61">
        <v>0.06</v>
      </c>
      <c r="BF13" s="61">
        <v>0.030500000000000003</v>
      </c>
      <c r="BG13" s="61">
        <v>0.04</v>
      </c>
      <c r="BH13" s="61">
        <v>0.07</v>
      </c>
      <c r="BI13" s="61">
        <v>0.055</v>
      </c>
      <c r="BJ13" s="61">
        <v>0.5</v>
      </c>
      <c r="BK13" s="61">
        <v>1</v>
      </c>
      <c r="BL13" s="61">
        <v>0.75</v>
      </c>
      <c r="BM13" s="62">
        <v>16535.4</v>
      </c>
      <c r="BN13" s="62">
        <v>27203.4</v>
      </c>
      <c r="BO13" s="62">
        <v>21869.4</v>
      </c>
      <c r="BP13" s="62">
        <v>649414.5</v>
      </c>
      <c r="BQ13" s="62">
        <v>987171</v>
      </c>
      <c r="BR13" s="62">
        <v>818292.75</v>
      </c>
      <c r="BS13" s="7">
        <f t="shared" si="0"/>
        <v>7.5</v>
      </c>
      <c r="BT13" s="62">
        <v>1819499.3984581076</v>
      </c>
      <c r="BU13" s="8">
        <v>1828500</v>
      </c>
      <c r="BV13" s="57">
        <f aca="true" t="shared" si="32" ref="BV13:BV44">(BT13/BU13)*100</f>
        <v>99.5077603750674</v>
      </c>
      <c r="BW13" s="22">
        <v>0</v>
      </c>
      <c r="BX13" s="22">
        <v>0</v>
      </c>
      <c r="BY13" s="22">
        <v>0</v>
      </c>
      <c r="BZ13" s="22">
        <v>1821607.46869</v>
      </c>
      <c r="CA13" s="22">
        <v>0</v>
      </c>
      <c r="CB13" s="22">
        <v>0</v>
      </c>
      <c r="CC13" s="22">
        <v>0</v>
      </c>
      <c r="CD13" s="22">
        <v>0</v>
      </c>
      <c r="CE13" s="61">
        <v>0</v>
      </c>
      <c r="CF13" s="61">
        <v>0</v>
      </c>
      <c r="CG13" s="61">
        <v>0</v>
      </c>
      <c r="CH13" s="61">
        <v>100</v>
      </c>
      <c r="CI13" s="61">
        <v>0</v>
      </c>
      <c r="CJ13" s="61">
        <v>0</v>
      </c>
      <c r="CK13" s="61">
        <v>0</v>
      </c>
      <c r="CL13" s="61">
        <v>0</v>
      </c>
      <c r="CM13" s="61">
        <v>0</v>
      </c>
      <c r="CN13" s="56">
        <f t="shared" si="2"/>
        <v>30234.978900000006</v>
      </c>
      <c r="CO13" s="56">
        <f t="shared" si="3"/>
        <v>497414.169</v>
      </c>
      <c r="CP13" s="56">
        <f t="shared" si="4"/>
        <v>39988.1979</v>
      </c>
      <c r="CQ13" s="6">
        <f t="shared" si="5"/>
        <v>2.4</v>
      </c>
      <c r="CR13" s="6">
        <f t="shared" si="6"/>
        <v>4.200000000000001</v>
      </c>
      <c r="CS13" s="6">
        <f t="shared" si="7"/>
        <v>3.3</v>
      </c>
      <c r="CT13" s="58">
        <f t="shared" si="8"/>
        <v>111493.90243902439</v>
      </c>
      <c r="CU13" s="58">
        <f t="shared" si="9"/>
        <v>195114.32926829273</v>
      </c>
      <c r="CV13" s="58">
        <f t="shared" si="10"/>
        <v>153304.11585365853</v>
      </c>
      <c r="CW13">
        <f t="shared" si="11"/>
        <v>1187454413.25</v>
      </c>
      <c r="CX13">
        <f t="shared" si="12"/>
        <v>1805042173.5</v>
      </c>
      <c r="CY13">
        <f t="shared" si="13"/>
        <v>1496248293.375</v>
      </c>
      <c r="CZ13" s="63">
        <v>145.40606163069444</v>
      </c>
      <c r="DA13" s="63">
        <v>11.190222302270236</v>
      </c>
      <c r="DB13" s="6">
        <v>0.6177076183939602</v>
      </c>
      <c r="DC13" s="6">
        <v>10.358481600760255</v>
      </c>
      <c r="DD13" s="6">
        <v>5.9394963307111555</v>
      </c>
      <c r="DE13" s="6">
        <v>11.546380866902487</v>
      </c>
      <c r="DF13" s="6">
        <v>0</v>
      </c>
      <c r="DG13" s="6">
        <v>30.647801066469565</v>
      </c>
      <c r="DH13" s="6">
        <v>19.148936170212767</v>
      </c>
      <c r="DI13" s="6">
        <v>0</v>
      </c>
      <c r="DJ13" s="6">
        <v>0</v>
      </c>
      <c r="DK13" s="6">
        <v>21.762314555725673</v>
      </c>
      <c r="DL13" s="6">
        <v>0</v>
      </c>
      <c r="DM13" s="6">
        <v>0</v>
      </c>
      <c r="DN13" s="6">
        <v>0</v>
      </c>
      <c r="DO13" s="6">
        <v>0</v>
      </c>
      <c r="DP13" s="64">
        <v>0</v>
      </c>
      <c r="DQ13" t="s">
        <v>441</v>
      </c>
      <c r="DR13" t="s">
        <v>441</v>
      </c>
      <c r="DS13" s="59">
        <v>0</v>
      </c>
      <c r="DT13">
        <v>1</v>
      </c>
      <c r="DU13">
        <f t="shared" si="14"/>
        <v>0</v>
      </c>
      <c r="DV13">
        <f t="shared" si="15"/>
        <v>0</v>
      </c>
      <c r="DW13">
        <f t="shared" si="16"/>
        <v>0</v>
      </c>
      <c r="DX13">
        <f t="shared" si="17"/>
        <v>1.4585726054868111</v>
      </c>
      <c r="DY13" s="59">
        <f t="shared" si="18"/>
        <v>2667.0000091326337</v>
      </c>
      <c r="DZ13">
        <f t="shared" si="20"/>
        <v>0</v>
      </c>
      <c r="EA13">
        <f t="shared" si="21"/>
        <v>0</v>
      </c>
      <c r="EB13">
        <f t="shared" si="22"/>
        <v>0</v>
      </c>
      <c r="EC13">
        <f t="shared" si="23"/>
        <v>0</v>
      </c>
      <c r="ED13" s="7">
        <f t="shared" si="19"/>
        <v>0</v>
      </c>
      <c r="EE13">
        <f t="shared" si="24"/>
        <v>0</v>
      </c>
      <c r="EF13">
        <f t="shared" si="25"/>
        <v>0</v>
      </c>
      <c r="EG13">
        <f t="shared" si="26"/>
        <v>0</v>
      </c>
      <c r="EH13">
        <f t="shared" si="27"/>
        <v>0</v>
      </c>
      <c r="EI13">
        <f t="shared" si="28"/>
        <v>0</v>
      </c>
      <c r="EJ13">
        <f t="shared" si="29"/>
        <v>0</v>
      </c>
      <c r="EK13">
        <f t="shared" si="30"/>
        <v>0</v>
      </c>
      <c r="EL13">
        <f t="shared" si="31"/>
        <v>0</v>
      </c>
    </row>
    <row r="14" spans="1:142" ht="12.75">
      <c r="A14" s="55" t="s">
        <v>450</v>
      </c>
      <c r="B14" t="s">
        <v>451</v>
      </c>
      <c r="C14" s="7">
        <v>45.810187051789555</v>
      </c>
      <c r="D14" s="7">
        <v>34.298885072742685</v>
      </c>
      <c r="E14" s="7">
        <v>5.101228599639831</v>
      </c>
      <c r="F14" s="7">
        <v>5.677302048189951</v>
      </c>
      <c r="G14" s="7">
        <v>5.38926532391489</v>
      </c>
      <c r="H14" s="7">
        <v>4.660312713530078</v>
      </c>
      <c r="I14" s="7">
        <v>9.744682338347445</v>
      </c>
      <c r="J14" s="7">
        <v>7.202497525938763</v>
      </c>
      <c r="K14" s="7">
        <v>0.885999734372959</v>
      </c>
      <c r="L14" s="7">
        <v>1.1397633148617818</v>
      </c>
      <c r="M14" s="7">
        <v>1.0128815246173706</v>
      </c>
      <c r="N14" s="7">
        <v>2.2608165999890213</v>
      </c>
      <c r="O14" s="7">
        <v>6.912953665308245</v>
      </c>
      <c r="P14" s="7">
        <v>4.586885132648634</v>
      </c>
      <c r="Q14" s="7">
        <v>0.04145846969599245</v>
      </c>
      <c r="R14" s="7">
        <v>0.07209164925693846</v>
      </c>
      <c r="S14" s="7">
        <v>0.05677505947646544</v>
      </c>
      <c r="T14" s="7">
        <v>1.1006259956905575</v>
      </c>
      <c r="U14" s="7">
        <v>2.4771872994439272</v>
      </c>
      <c r="V14" s="7">
        <v>1.7889066475672422</v>
      </c>
      <c r="W14" s="7">
        <v>23.67726951941042</v>
      </c>
      <c r="X14" s="7">
        <v>39.64370825509471</v>
      </c>
      <c r="Y14" s="7">
        <v>31.660488887252566</v>
      </c>
      <c r="Z14" s="7">
        <v>5.327199570975697</v>
      </c>
      <c r="AA14" s="7">
        <v>5.881420560164144</v>
      </c>
      <c r="AB14" s="7">
        <v>5.604309916157963</v>
      </c>
      <c r="AC14" s="7">
        <v>4.398442273311864</v>
      </c>
      <c r="AD14" s="7">
        <v>9.241898678632579</v>
      </c>
      <c r="AE14" s="7">
        <v>6.820170475972221</v>
      </c>
      <c r="AF14" s="7">
        <v>1.22650848482975</v>
      </c>
      <c r="AG14" s="7">
        <v>1.4992450792987155</v>
      </c>
      <c r="AH14" s="7">
        <v>1.3628761927785067</v>
      </c>
      <c r="AI14" s="7">
        <v>1.7025203036592633</v>
      </c>
      <c r="AJ14" s="7">
        <v>5.379737273006066</v>
      </c>
      <c r="AK14" s="7">
        <v>3.5411294407458085</v>
      </c>
      <c r="AL14" s="7">
        <v>0.038946582625466214</v>
      </c>
      <c r="AM14" s="7">
        <v>0.06835789121604144</v>
      </c>
      <c r="AN14" s="7">
        <v>0.05365242881723583</v>
      </c>
      <c r="AO14" s="7">
        <v>0.7675637526825315</v>
      </c>
      <c r="AP14" s="7">
        <v>1.705358808527233</v>
      </c>
      <c r="AQ14" s="7">
        <v>1.2364612880113974</v>
      </c>
      <c r="AR14" s="7">
        <v>24.52754905000524</v>
      </c>
      <c r="AS14" s="7">
        <v>32.971213018950834</v>
      </c>
      <c r="AT14" s="7">
        <v>28.749381034478034</v>
      </c>
      <c r="AU14" s="7">
        <v>5.5650867833802575</v>
      </c>
      <c r="AV14" s="7">
        <v>6.091786962170453</v>
      </c>
      <c r="AW14" s="7">
        <v>5.828436872775357</v>
      </c>
      <c r="AX14" s="7">
        <v>4.109542359273818</v>
      </c>
      <c r="AY14" s="7">
        <v>8.767420783220176</v>
      </c>
      <c r="AZ14" s="7">
        <v>6.438481571246999</v>
      </c>
      <c r="BA14" s="7">
        <v>1.5824599527856582</v>
      </c>
      <c r="BB14" s="7">
        <v>1.875836812434501</v>
      </c>
      <c r="BC14" s="7">
        <v>1.7291483826100795</v>
      </c>
      <c r="BD14" s="7">
        <v>1.1026532906987725</v>
      </c>
      <c r="BE14" s="7">
        <v>3.7215320527105265</v>
      </c>
      <c r="BF14" s="7">
        <v>2.4120926717046496</v>
      </c>
      <c r="BG14" s="7">
        <v>0.03764450079032189</v>
      </c>
      <c r="BH14" s="7">
        <v>0.06586626126786829</v>
      </c>
      <c r="BI14" s="7">
        <v>0.051755381029095084</v>
      </c>
      <c r="BJ14" s="7">
        <v>0.5439479016441041</v>
      </c>
      <c r="BK14" s="7">
        <v>1.0883418150012398</v>
      </c>
      <c r="BL14" s="7">
        <v>0.8161448583226715</v>
      </c>
      <c r="BM14" s="56">
        <v>16270.552431472284</v>
      </c>
      <c r="BN14" s="56">
        <v>27942.83849799647</v>
      </c>
      <c r="BO14" s="56">
        <v>22106.69546468606</v>
      </c>
      <c r="BP14" s="56">
        <v>542297.1013726656</v>
      </c>
      <c r="BQ14" s="56">
        <v>839163.5253935481</v>
      </c>
      <c r="BR14" s="56">
        <v>690730.3133831067</v>
      </c>
      <c r="BS14" s="7">
        <f t="shared" si="0"/>
        <v>6.743960324075441</v>
      </c>
      <c r="BT14" s="56">
        <v>8665589.286644528</v>
      </c>
      <c r="BU14" s="8">
        <v>8665066.24375</v>
      </c>
      <c r="BV14" s="57">
        <f t="shared" si="32"/>
        <v>100.00603622499602</v>
      </c>
      <c r="BW14">
        <v>0</v>
      </c>
      <c r="BX14">
        <v>0</v>
      </c>
      <c r="BY14">
        <v>0</v>
      </c>
      <c r="BZ14">
        <v>8628367.466386866</v>
      </c>
      <c r="CA14">
        <v>12377.314999961</v>
      </c>
      <c r="CB14">
        <v>121138.52432751001</v>
      </c>
      <c r="CC14">
        <v>0</v>
      </c>
      <c r="CD14">
        <v>0</v>
      </c>
      <c r="CE14" s="61">
        <v>0</v>
      </c>
      <c r="CF14" s="61">
        <v>0</v>
      </c>
      <c r="CG14" s="61">
        <v>0</v>
      </c>
      <c r="CH14" s="61">
        <v>99.57046406163019</v>
      </c>
      <c r="CI14" s="61">
        <v>0.14283292907773754</v>
      </c>
      <c r="CJ14" s="61">
        <v>1.397925984262947</v>
      </c>
      <c r="CK14" s="61">
        <v>0</v>
      </c>
      <c r="CL14" s="61">
        <v>0</v>
      </c>
      <c r="CM14" s="61">
        <v>0.14324361282632928</v>
      </c>
      <c r="CN14" s="56">
        <f t="shared" si="2"/>
        <v>140985.414641115</v>
      </c>
      <c r="CO14" s="56">
        <f t="shared" si="3"/>
        <v>2421265.4662354714</v>
      </c>
      <c r="CP14" s="56">
        <f t="shared" si="4"/>
        <v>191555.98063191242</v>
      </c>
      <c r="CQ14" s="6">
        <f t="shared" si="5"/>
        <v>2.335687638330824</v>
      </c>
      <c r="CR14" s="6">
        <f t="shared" si="6"/>
        <v>4.086479450697095</v>
      </c>
      <c r="CS14" s="6">
        <f t="shared" si="7"/>
        <v>3.211088150029527</v>
      </c>
      <c r="CT14" s="58">
        <f t="shared" si="8"/>
        <v>514199.39306007576</v>
      </c>
      <c r="CU14" s="58">
        <f t="shared" si="9"/>
        <v>899634.5310979026</v>
      </c>
      <c r="CV14" s="58">
        <f t="shared" si="10"/>
        <v>706917.9759788235</v>
      </c>
      <c r="CW14">
        <f t="shared" si="11"/>
        <v>4699040307.187757</v>
      </c>
      <c r="CX14">
        <f t="shared" si="12"/>
        <v>7271407536.873879</v>
      </c>
      <c r="CY14">
        <f t="shared" si="13"/>
        <v>5985223922.030817</v>
      </c>
      <c r="CZ14" s="63">
        <v>189.325</v>
      </c>
      <c r="DA14" s="63">
        <v>16.9881</v>
      </c>
      <c r="DB14" s="6">
        <v>3.43</v>
      </c>
      <c r="DC14" s="6">
        <v>22.09</v>
      </c>
      <c r="DD14" s="6">
        <v>5.57</v>
      </c>
      <c r="DE14" s="6">
        <v>18.71</v>
      </c>
      <c r="DF14" s="6">
        <v>0</v>
      </c>
      <c r="DG14" s="6">
        <v>15.29</v>
      </c>
      <c r="DH14" s="6">
        <v>17.83</v>
      </c>
      <c r="DI14" s="6">
        <v>0</v>
      </c>
      <c r="DJ14" s="6">
        <v>0.28</v>
      </c>
      <c r="DK14" s="6">
        <v>14.8</v>
      </c>
      <c r="DL14" s="6">
        <v>0</v>
      </c>
      <c r="DM14" s="6">
        <v>1.78</v>
      </c>
      <c r="DN14" s="6">
        <v>0.24</v>
      </c>
      <c r="DO14" s="6">
        <v>0</v>
      </c>
      <c r="DP14" s="6">
        <v>147.273</v>
      </c>
      <c r="DQ14" t="s">
        <v>441</v>
      </c>
      <c r="DR14" t="s">
        <v>441</v>
      </c>
      <c r="DS14" s="59">
        <v>1</v>
      </c>
      <c r="DT14">
        <v>1</v>
      </c>
      <c r="DU14">
        <f t="shared" si="14"/>
        <v>1</v>
      </c>
      <c r="DV14">
        <f t="shared" si="15"/>
        <v>0</v>
      </c>
      <c r="DW14">
        <f t="shared" si="16"/>
        <v>0</v>
      </c>
      <c r="DX14">
        <f t="shared" si="17"/>
        <v>1.433978</v>
      </c>
      <c r="DY14" s="59">
        <f t="shared" si="18"/>
        <v>12425.514362080137</v>
      </c>
      <c r="DZ14">
        <f t="shared" si="20"/>
        <v>12425.514362080137</v>
      </c>
      <c r="EA14">
        <f t="shared" si="21"/>
        <v>140985.414641115</v>
      </c>
      <c r="EB14">
        <f t="shared" si="22"/>
        <v>2421265.4662354714</v>
      </c>
      <c r="EC14">
        <f t="shared" si="23"/>
        <v>191555.98063191242</v>
      </c>
      <c r="ED14" s="7">
        <f t="shared" si="19"/>
        <v>16.996177046681677</v>
      </c>
      <c r="EE14">
        <f t="shared" si="24"/>
        <v>0</v>
      </c>
      <c r="EF14">
        <f t="shared" si="25"/>
        <v>0</v>
      </c>
      <c r="EG14">
        <f t="shared" si="26"/>
        <v>0</v>
      </c>
      <c r="EH14">
        <f t="shared" si="27"/>
        <v>0</v>
      </c>
      <c r="EI14">
        <f t="shared" si="28"/>
        <v>12425.514362080137</v>
      </c>
      <c r="EJ14">
        <f t="shared" si="29"/>
        <v>140985.414641115</v>
      </c>
      <c r="EK14">
        <f t="shared" si="30"/>
        <v>2421265.4662354714</v>
      </c>
      <c r="EL14">
        <f t="shared" si="31"/>
        <v>191555.98063191242</v>
      </c>
    </row>
    <row r="15" spans="1:142" ht="12.75">
      <c r="A15" s="55" t="s">
        <v>452</v>
      </c>
      <c r="B15" t="s">
        <v>453</v>
      </c>
      <c r="C15" s="7">
        <v>44.18306575358462</v>
      </c>
      <c r="D15" s="7">
        <v>33.07696998022242</v>
      </c>
      <c r="E15" s="7">
        <v>5.101922999723469</v>
      </c>
      <c r="F15" s="7">
        <v>5.751989955659021</v>
      </c>
      <c r="G15" s="7">
        <v>5.426956477691246</v>
      </c>
      <c r="H15" s="7">
        <v>4.46603478335407</v>
      </c>
      <c r="I15" s="7">
        <v>9.508471720547792</v>
      </c>
      <c r="J15" s="7">
        <v>6.98725325195093</v>
      </c>
      <c r="K15" s="7">
        <v>0.9026665151052815</v>
      </c>
      <c r="L15" s="7">
        <v>1.1577754718286142</v>
      </c>
      <c r="M15" s="7">
        <v>1.0302209934669473</v>
      </c>
      <c r="N15" s="7">
        <v>2.4082292012741924</v>
      </c>
      <c r="O15" s="7">
        <v>7.428951782995482</v>
      </c>
      <c r="P15" s="7">
        <v>4.918590492134838</v>
      </c>
      <c r="Q15" s="7">
        <v>0.04091588047523925</v>
      </c>
      <c r="R15" s="7">
        <v>0.07122639484580792</v>
      </c>
      <c r="S15" s="7">
        <v>0.056071137660523566</v>
      </c>
      <c r="T15" s="7">
        <v>1.060851790670297</v>
      </c>
      <c r="U15" s="7">
        <v>2.454986821779034</v>
      </c>
      <c r="V15" s="7">
        <v>1.7579193062246647</v>
      </c>
      <c r="W15" s="7">
        <v>22.43878222156954</v>
      </c>
      <c r="X15" s="7">
        <v>37.915361892487155</v>
      </c>
      <c r="Y15" s="7">
        <v>30.17707205702834</v>
      </c>
      <c r="Z15" s="7">
        <v>5.313722003351853</v>
      </c>
      <c r="AA15" s="7">
        <v>5.93668188635054</v>
      </c>
      <c r="AB15" s="7">
        <v>5.625201809494666</v>
      </c>
      <c r="AC15" s="7">
        <v>4.195397086921338</v>
      </c>
      <c r="AD15" s="7">
        <v>9.016698868238013</v>
      </c>
      <c r="AE15" s="7">
        <v>6.606047977579676</v>
      </c>
      <c r="AF15" s="7">
        <v>1.2134189773937842</v>
      </c>
      <c r="AG15" s="7">
        <v>1.4865875547229164</v>
      </c>
      <c r="AH15" s="7">
        <v>1.3500022632439692</v>
      </c>
      <c r="AI15" s="7">
        <v>1.9409142076280692</v>
      </c>
      <c r="AJ15" s="7">
        <v>6.1802457022724475</v>
      </c>
      <c r="AK15" s="7">
        <v>4.060580976104956</v>
      </c>
      <c r="AL15" s="7">
        <v>0.03853299477367589</v>
      </c>
      <c r="AM15" s="7">
        <v>0.06759717268037402</v>
      </c>
      <c r="AN15" s="7">
        <v>0.05306520511368768</v>
      </c>
      <c r="AO15" s="7">
        <v>0.76152825796766</v>
      </c>
      <c r="AP15" s="7">
        <v>1.7196283329439153</v>
      </c>
      <c r="AQ15" s="7">
        <v>1.240578307048438</v>
      </c>
      <c r="AR15" s="7">
        <v>22.95216633660322</v>
      </c>
      <c r="AS15" s="7">
        <v>31.003767190701726</v>
      </c>
      <c r="AT15" s="7">
        <v>26.977966763652482</v>
      </c>
      <c r="AU15" s="7">
        <v>5.545582749459779</v>
      </c>
      <c r="AV15" s="7">
        <v>6.1358467632336</v>
      </c>
      <c r="AW15" s="7">
        <v>5.84071475634669</v>
      </c>
      <c r="AX15" s="7">
        <v>3.8637725195776436</v>
      </c>
      <c r="AY15" s="7">
        <v>8.483708387337265</v>
      </c>
      <c r="AZ15" s="7">
        <v>6.173740453457453</v>
      </c>
      <c r="BA15" s="7">
        <v>1.5512272895648067</v>
      </c>
      <c r="BB15" s="7">
        <v>1.8441948171083187</v>
      </c>
      <c r="BC15" s="7">
        <v>1.6977110533365634</v>
      </c>
      <c r="BD15" s="7">
        <v>1.4189928969635053</v>
      </c>
      <c r="BE15" s="7">
        <v>4.772929554739319</v>
      </c>
      <c r="BF15" s="7">
        <v>3.0959612258514126</v>
      </c>
      <c r="BG15" s="7">
        <v>0.03707705911419528</v>
      </c>
      <c r="BH15" s="7">
        <v>0.06479506483293339</v>
      </c>
      <c r="BI15" s="7">
        <v>0.05093606197356433</v>
      </c>
      <c r="BJ15" s="7">
        <v>0.5552884784868594</v>
      </c>
      <c r="BK15" s="7">
        <v>1.1112750528977418</v>
      </c>
      <c r="BL15" s="7">
        <v>0.8332817656923004</v>
      </c>
      <c r="BM15" s="56">
        <v>15908.416149929395</v>
      </c>
      <c r="BN15" s="56">
        <v>27496.172744326952</v>
      </c>
      <c r="BO15" s="56">
        <v>21702.294447133012</v>
      </c>
      <c r="BP15" s="56">
        <v>509764.43475766655</v>
      </c>
      <c r="BQ15" s="56">
        <v>794671.3802913207</v>
      </c>
      <c r="BR15" s="56">
        <v>652217.9075244935</v>
      </c>
      <c r="BS15" s="7">
        <f t="shared" si="0"/>
        <v>6.509366022805038</v>
      </c>
      <c r="BT15" s="56">
        <v>5545394.402766144</v>
      </c>
      <c r="BU15" s="8">
        <v>5546804.91529</v>
      </c>
      <c r="BV15" s="57">
        <f t="shared" si="32"/>
        <v>99.97457072052475</v>
      </c>
      <c r="BW15">
        <v>0</v>
      </c>
      <c r="BX15">
        <v>0</v>
      </c>
      <c r="BY15">
        <v>0</v>
      </c>
      <c r="BZ15">
        <v>5510698.677340353</v>
      </c>
      <c r="CA15">
        <v>9851.220168091</v>
      </c>
      <c r="CB15">
        <v>32294.67044041</v>
      </c>
      <c r="CC15">
        <v>0</v>
      </c>
      <c r="CD15">
        <v>0</v>
      </c>
      <c r="CE15" s="61">
        <v>0</v>
      </c>
      <c r="CF15" s="61">
        <v>0</v>
      </c>
      <c r="CG15" s="61">
        <v>0</v>
      </c>
      <c r="CH15" s="61">
        <v>99.37433259195262</v>
      </c>
      <c r="CI15" s="61">
        <v>0.17764688050280122</v>
      </c>
      <c r="CJ15" s="61">
        <v>0.5823692256100095</v>
      </c>
      <c r="CK15" s="61">
        <v>0</v>
      </c>
      <c r="CL15" s="61">
        <v>0</v>
      </c>
      <c r="CM15" s="61">
        <v>0.1784463568119743</v>
      </c>
      <c r="CN15" s="56">
        <f t="shared" si="2"/>
        <v>88240.88089490718</v>
      </c>
      <c r="CO15" s="56">
        <f t="shared" si="3"/>
        <v>1525159.0612989566</v>
      </c>
      <c r="CP15" s="56">
        <f t="shared" si="4"/>
        <v>120378.39351242827</v>
      </c>
      <c r="CQ15" s="6">
        <f t="shared" si="5"/>
        <v>2.305631859011779</v>
      </c>
      <c r="CR15" s="6">
        <f t="shared" si="6"/>
        <v>4.032130438469073</v>
      </c>
      <c r="CS15" s="6">
        <f t="shared" si="7"/>
        <v>3.1688840620203313</v>
      </c>
      <c r="CT15" s="58">
        <f t="shared" si="8"/>
        <v>324920.9890349532</v>
      </c>
      <c r="CU15" s="58">
        <f t="shared" si="9"/>
        <v>568227.6660363484</v>
      </c>
      <c r="CV15" s="58">
        <f t="shared" si="10"/>
        <v>446574.7380893932</v>
      </c>
      <c r="CW15">
        <f t="shared" si="11"/>
        <v>2827563872.3538537</v>
      </c>
      <c r="CX15">
        <f t="shared" si="12"/>
        <v>4407887118.240187</v>
      </c>
      <c r="CY15">
        <f t="shared" si="13"/>
        <v>3617725495.2970195</v>
      </c>
      <c r="CZ15" s="63">
        <v>208.55</v>
      </c>
      <c r="DA15" s="63">
        <v>3.33333</v>
      </c>
      <c r="DB15" s="6">
        <v>4.17</v>
      </c>
      <c r="DC15" s="6">
        <v>21.95</v>
      </c>
      <c r="DD15" s="6">
        <v>5.26</v>
      </c>
      <c r="DE15" s="6">
        <v>20.62</v>
      </c>
      <c r="DF15" s="6">
        <v>0</v>
      </c>
      <c r="DG15" s="6">
        <v>16.03</v>
      </c>
      <c r="DH15" s="6">
        <v>18.72</v>
      </c>
      <c r="DI15" s="6">
        <v>0</v>
      </c>
      <c r="DJ15" s="6">
        <v>0.28</v>
      </c>
      <c r="DK15" s="6">
        <v>12.59</v>
      </c>
      <c r="DL15" s="6">
        <v>0</v>
      </c>
      <c r="DM15" s="6">
        <v>0.2</v>
      </c>
      <c r="DN15" s="6">
        <v>0.21</v>
      </c>
      <c r="DO15" s="6">
        <v>0</v>
      </c>
      <c r="DP15" s="6">
        <v>27.2729</v>
      </c>
      <c r="DQ15" t="s">
        <v>441</v>
      </c>
      <c r="DR15" t="s">
        <v>441</v>
      </c>
      <c r="DS15" s="59">
        <v>0</v>
      </c>
      <c r="DT15">
        <v>1</v>
      </c>
      <c r="DU15">
        <f t="shared" si="14"/>
        <v>0</v>
      </c>
      <c r="DV15">
        <f t="shared" si="15"/>
        <v>0</v>
      </c>
      <c r="DW15">
        <f t="shared" si="16"/>
        <v>0</v>
      </c>
      <c r="DX15">
        <f t="shared" si="17"/>
        <v>1.423212</v>
      </c>
      <c r="DY15" s="59">
        <f t="shared" si="18"/>
        <v>7894.279317099711</v>
      </c>
      <c r="DZ15">
        <f t="shared" si="20"/>
        <v>0</v>
      </c>
      <c r="EA15">
        <f t="shared" si="21"/>
        <v>0</v>
      </c>
      <c r="EB15">
        <f t="shared" si="22"/>
        <v>0</v>
      </c>
      <c r="EC15">
        <f t="shared" si="23"/>
        <v>0</v>
      </c>
      <c r="ED15" s="7">
        <f t="shared" si="19"/>
        <v>4.916866631602836</v>
      </c>
      <c r="EE15">
        <f t="shared" si="24"/>
        <v>0</v>
      </c>
      <c r="EF15">
        <f t="shared" si="25"/>
        <v>0</v>
      </c>
      <c r="EG15">
        <f t="shared" si="26"/>
        <v>0</v>
      </c>
      <c r="EH15">
        <f t="shared" si="27"/>
        <v>0</v>
      </c>
      <c r="EI15">
        <f t="shared" si="28"/>
        <v>0</v>
      </c>
      <c r="EJ15">
        <f t="shared" si="29"/>
        <v>0</v>
      </c>
      <c r="EK15">
        <f t="shared" si="30"/>
        <v>0</v>
      </c>
      <c r="EL15">
        <f t="shared" si="31"/>
        <v>0</v>
      </c>
    </row>
    <row r="16" spans="1:142" ht="12.75">
      <c r="A16" s="55" t="s">
        <v>454</v>
      </c>
      <c r="B16" t="s">
        <v>455</v>
      </c>
      <c r="C16" s="7">
        <v>17.91699318894551</v>
      </c>
      <c r="D16" s="7">
        <v>12.905602987314143</v>
      </c>
      <c r="E16" s="7">
        <v>4.846569371274843</v>
      </c>
      <c r="F16" s="7">
        <v>5.402862648433135</v>
      </c>
      <c r="G16" s="7">
        <v>5.124716009853988</v>
      </c>
      <c r="H16" s="7">
        <v>6.448535614958634</v>
      </c>
      <c r="I16" s="7">
        <v>18.59390146607133</v>
      </c>
      <c r="J16" s="7">
        <v>12.521216317744381</v>
      </c>
      <c r="K16" s="7">
        <v>0.6636638839821976</v>
      </c>
      <c r="L16" s="7">
        <v>0.9486775721519566</v>
      </c>
      <c r="M16" s="7">
        <v>0.806170728067077</v>
      </c>
      <c r="N16" s="7">
        <v>1.7946805837738542</v>
      </c>
      <c r="O16" s="7">
        <v>5.515155474798372</v>
      </c>
      <c r="P16" s="7">
        <v>3.6549180292861134</v>
      </c>
      <c r="Q16" s="7">
        <v>0.03982877072171674</v>
      </c>
      <c r="R16" s="7">
        <v>0.0844769390972971</v>
      </c>
      <c r="S16" s="7">
        <v>0.06215233345663189</v>
      </c>
      <c r="T16" s="7">
        <v>2.495323464439841</v>
      </c>
      <c r="U16" s="7">
        <v>6.66358649013566</v>
      </c>
      <c r="V16" s="7">
        <v>4.57945720005835</v>
      </c>
      <c r="W16" s="7">
        <v>6.044259940168823</v>
      </c>
      <c r="X16" s="7">
        <v>15.026571368505287</v>
      </c>
      <c r="Y16" s="7">
        <v>10.53541572075368</v>
      </c>
      <c r="Z16" s="7">
        <v>4.876255966433709</v>
      </c>
      <c r="AA16" s="7">
        <v>5.608975704123306</v>
      </c>
      <c r="AB16" s="7">
        <v>5.242615850912763</v>
      </c>
      <c r="AC16" s="7">
        <v>7.292581703712923</v>
      </c>
      <c r="AD16" s="7">
        <v>18.968846776819774</v>
      </c>
      <c r="AE16" s="7">
        <v>13.13071476171922</v>
      </c>
      <c r="AF16" s="7">
        <v>0.7058988307467462</v>
      </c>
      <c r="AG16" s="7">
        <v>1.0247908559132963</v>
      </c>
      <c r="AH16" s="7">
        <v>0.8653458517373495</v>
      </c>
      <c r="AI16" s="7">
        <v>2.1759143712660793</v>
      </c>
      <c r="AJ16" s="7">
        <v>7.537400343862917</v>
      </c>
      <c r="AK16" s="7">
        <v>4.856657357564498</v>
      </c>
      <c r="AL16" s="7">
        <v>0.03749557234520298</v>
      </c>
      <c r="AM16" s="7">
        <v>0.07630090297308059</v>
      </c>
      <c r="AN16" s="7">
        <v>0.05689806908897119</v>
      </c>
      <c r="AO16" s="7">
        <v>1.7559891951264963</v>
      </c>
      <c r="AP16" s="7">
        <v>5.220647647323937</v>
      </c>
      <c r="AQ16" s="7">
        <v>3.488317616244823</v>
      </c>
      <c r="AR16" s="7">
        <v>5.247749093125947</v>
      </c>
      <c r="AS16" s="7">
        <v>11.32918330537415</v>
      </c>
      <c r="AT16" s="7">
        <v>8.28846567779717</v>
      </c>
      <c r="AU16" s="7">
        <v>4.914658631117324</v>
      </c>
      <c r="AV16" s="7">
        <v>5.788768035188598</v>
      </c>
      <c r="AW16" s="7">
        <v>5.3517133331529605</v>
      </c>
      <c r="AX16" s="7">
        <v>6.709045349790349</v>
      </c>
      <c r="AY16" s="7">
        <v>16.897486736926066</v>
      </c>
      <c r="AZ16" s="7">
        <v>11.803266564811082</v>
      </c>
      <c r="BA16" s="7">
        <v>0.8967056191799265</v>
      </c>
      <c r="BB16" s="7">
        <v>1.2389802054788792</v>
      </c>
      <c r="BC16" s="7">
        <v>1.067842912329403</v>
      </c>
      <c r="BD16" s="7">
        <v>2.809045027797423</v>
      </c>
      <c r="BE16" s="7">
        <v>10.834333738948315</v>
      </c>
      <c r="BF16" s="7">
        <v>6.821689383372869</v>
      </c>
      <c r="BG16" s="7">
        <v>0.024797976681193996</v>
      </c>
      <c r="BH16" s="7">
        <v>0.06338531706042605</v>
      </c>
      <c r="BI16" s="7">
        <v>0.04409216832368506</v>
      </c>
      <c r="BJ16" s="7">
        <v>0.7062235500821886</v>
      </c>
      <c r="BK16" s="7">
        <v>3.4286784337321583</v>
      </c>
      <c r="BL16" s="7">
        <v>2.0674504704542978</v>
      </c>
      <c r="BM16" s="56">
        <v>22565.110151866294</v>
      </c>
      <c r="BN16" s="56">
        <v>50642.467677197055</v>
      </c>
      <c r="BO16" s="56">
        <v>36603.78891675444</v>
      </c>
      <c r="BP16" s="56">
        <v>83205.85845815632</v>
      </c>
      <c r="BQ16" s="56">
        <v>189166.96518494867</v>
      </c>
      <c r="BR16" s="56">
        <v>136186.4118188502</v>
      </c>
      <c r="BS16" s="7">
        <f t="shared" si="0"/>
        <v>12.477835794160997</v>
      </c>
      <c r="BT16" s="56">
        <v>21377531.58843269</v>
      </c>
      <c r="BU16" s="8">
        <v>21354036.0834</v>
      </c>
      <c r="BV16" s="57">
        <f t="shared" si="32"/>
        <v>100.11002840372154</v>
      </c>
      <c r="BW16">
        <v>19251200.81011814</v>
      </c>
      <c r="BX16">
        <v>0</v>
      </c>
      <c r="BY16">
        <v>1406253.8207241502</v>
      </c>
      <c r="BZ16">
        <v>1108695.2668721501</v>
      </c>
      <c r="CA16">
        <v>0</v>
      </c>
      <c r="CB16">
        <v>2750.35140675</v>
      </c>
      <c r="CC16">
        <v>843540.0595937</v>
      </c>
      <c r="CD16">
        <v>378722.64484910003</v>
      </c>
      <c r="CE16" s="7">
        <v>90.05343170927601</v>
      </c>
      <c r="CF16" s="7">
        <v>0</v>
      </c>
      <c r="CG16" s="7">
        <v>6.578186143273293</v>
      </c>
      <c r="CH16" s="7">
        <v>5.186264196527075</v>
      </c>
      <c r="CI16" s="7">
        <v>0</v>
      </c>
      <c r="CJ16" s="7">
        <v>0.01286561732056196</v>
      </c>
      <c r="CK16" s="7">
        <v>3.9459189013671563</v>
      </c>
      <c r="CL16" s="7">
        <v>1.771592025404961</v>
      </c>
      <c r="CM16" s="7">
        <v>0</v>
      </c>
      <c r="CN16" s="56">
        <f t="shared" si="2"/>
        <v>481856.1764088485</v>
      </c>
      <c r="CO16" s="56">
        <f t="shared" si="3"/>
        <v>10814210.821312841</v>
      </c>
      <c r="CP16" s="56">
        <f t="shared" si="4"/>
        <v>781638.6293175314</v>
      </c>
      <c r="CQ16" s="6">
        <f t="shared" si="5"/>
        <v>1.9729904252941284</v>
      </c>
      <c r="CR16" s="6">
        <f t="shared" si="6"/>
        <v>4.366192549971725</v>
      </c>
      <c r="CS16" s="6">
        <f t="shared" si="7"/>
        <v>3.1695936993833325</v>
      </c>
      <c r="CT16" s="58">
        <f t="shared" si="8"/>
        <v>1070409.266614165</v>
      </c>
      <c r="CU16" s="58">
        <f t="shared" si="9"/>
        <v>2368796.576706516</v>
      </c>
      <c r="CV16" s="58">
        <f t="shared" si="10"/>
        <v>1719604.1216043946</v>
      </c>
      <c r="CW16">
        <f t="shared" si="11"/>
        <v>1776780903.8657432</v>
      </c>
      <c r="CX16">
        <f t="shared" si="12"/>
        <v>4039478200.3466654</v>
      </c>
      <c r="CY16">
        <f t="shared" si="13"/>
        <v>2908129552.0484996</v>
      </c>
      <c r="CZ16" s="59">
        <v>607.85</v>
      </c>
      <c r="DA16" s="59">
        <v>52.5892</v>
      </c>
      <c r="DB16" s="6">
        <v>0.1</v>
      </c>
      <c r="DC16" s="6">
        <v>2.77</v>
      </c>
      <c r="DD16" s="6">
        <v>6.8</v>
      </c>
      <c r="DE16" s="6">
        <v>6.92</v>
      </c>
      <c r="DF16" s="6">
        <v>0.08</v>
      </c>
      <c r="DG16" s="6">
        <v>72.5</v>
      </c>
      <c r="DH16" s="6">
        <v>6.77</v>
      </c>
      <c r="DI16" s="6">
        <v>0</v>
      </c>
      <c r="DJ16" s="6">
        <v>1.72</v>
      </c>
      <c r="DK16" s="6">
        <v>1.85</v>
      </c>
      <c r="DL16" s="6">
        <v>0</v>
      </c>
      <c r="DM16" s="6">
        <v>0.41</v>
      </c>
      <c r="DN16" s="6">
        <v>0.01</v>
      </c>
      <c r="DO16" s="6">
        <v>0.1</v>
      </c>
      <c r="DP16" s="6">
        <v>15.7073</v>
      </c>
      <c r="DQ16" t="s">
        <v>441</v>
      </c>
      <c r="DR16" t="s">
        <v>441</v>
      </c>
      <c r="DS16" s="59">
        <v>1</v>
      </c>
      <c r="DT16">
        <v>1</v>
      </c>
      <c r="DU16">
        <f t="shared" si="14"/>
        <v>1</v>
      </c>
      <c r="DV16">
        <f t="shared" si="15"/>
        <v>0</v>
      </c>
      <c r="DW16">
        <f t="shared" si="16"/>
        <v>0</v>
      </c>
      <c r="DX16">
        <f t="shared" si="17"/>
        <v>1.1996040000000001</v>
      </c>
      <c r="DY16" s="59">
        <f t="shared" si="18"/>
        <v>25616.387101790977</v>
      </c>
      <c r="DZ16">
        <f t="shared" si="20"/>
        <v>25616.387101790977</v>
      </c>
      <c r="EA16">
        <f t="shared" si="21"/>
        <v>481856.1764088485</v>
      </c>
      <c r="EB16">
        <f t="shared" si="22"/>
        <v>10814210.821312841</v>
      </c>
      <c r="EC16">
        <f t="shared" si="23"/>
        <v>781638.6293175314</v>
      </c>
      <c r="ED16" s="7">
        <f t="shared" si="19"/>
        <v>0.7355658639263232</v>
      </c>
      <c r="EE16">
        <f t="shared" si="24"/>
        <v>0</v>
      </c>
      <c r="EF16">
        <f t="shared" si="25"/>
        <v>0</v>
      </c>
      <c r="EG16">
        <f t="shared" si="26"/>
        <v>0</v>
      </c>
      <c r="EH16">
        <f t="shared" si="27"/>
        <v>0</v>
      </c>
      <c r="EI16">
        <f t="shared" si="28"/>
        <v>25616.387101790977</v>
      </c>
      <c r="EJ16">
        <f t="shared" si="29"/>
        <v>481856.1764088485</v>
      </c>
      <c r="EK16">
        <f t="shared" si="30"/>
        <v>10814210.821312841</v>
      </c>
      <c r="EL16">
        <f t="shared" si="31"/>
        <v>781638.6293175314</v>
      </c>
    </row>
    <row r="17" spans="1:142" ht="12.75">
      <c r="A17" s="55" t="s">
        <v>456</v>
      </c>
      <c r="B17" t="s">
        <v>457</v>
      </c>
      <c r="C17" s="7">
        <v>18.107848182620625</v>
      </c>
      <c r="D17" s="7">
        <v>13.542123990454368</v>
      </c>
      <c r="E17" s="7">
        <v>4.812492237609025</v>
      </c>
      <c r="F17" s="7">
        <v>5.634202703521367</v>
      </c>
      <c r="G17" s="7">
        <v>5.223347470565193</v>
      </c>
      <c r="H17" s="7">
        <v>5.905556599801186</v>
      </c>
      <c r="I17" s="7">
        <v>15.165549782844847</v>
      </c>
      <c r="J17" s="7">
        <v>10.535552906518266</v>
      </c>
      <c r="K17" s="7">
        <v>0.7218940629620093</v>
      </c>
      <c r="L17" s="7">
        <v>0.9809726757591781</v>
      </c>
      <c r="M17" s="7">
        <v>0.851433369360594</v>
      </c>
      <c r="N17" s="7">
        <v>1.723651024638449</v>
      </c>
      <c r="O17" s="7">
        <v>5.210063880080476</v>
      </c>
      <c r="P17" s="7">
        <v>3.466857452359462</v>
      </c>
      <c r="Q17" s="7">
        <v>0.07403996424932704</v>
      </c>
      <c r="R17" s="7">
        <v>0.11389184541756693</v>
      </c>
      <c r="S17" s="7">
        <v>0.0939655469563642</v>
      </c>
      <c r="T17" s="7">
        <v>3.366408728443083</v>
      </c>
      <c r="U17" s="7">
        <v>7.360901704421578</v>
      </c>
      <c r="V17" s="7">
        <v>5.363655501237086</v>
      </c>
      <c r="W17" s="7">
        <v>7.785008383884593</v>
      </c>
      <c r="X17" s="7">
        <v>16.455584736117977</v>
      </c>
      <c r="Y17" s="7">
        <v>12.120296786667073</v>
      </c>
      <c r="Z17" s="7">
        <v>4.90163498599536</v>
      </c>
      <c r="AA17" s="7">
        <v>5.790865397294211</v>
      </c>
      <c r="AB17" s="7">
        <v>5.346250969904433</v>
      </c>
      <c r="AC17" s="7">
        <v>11.042322395632944</v>
      </c>
      <c r="AD17" s="7">
        <v>20.54325251518991</v>
      </c>
      <c r="AE17" s="7">
        <v>15.792787806122472</v>
      </c>
      <c r="AF17" s="7">
        <v>0.8720826553369543</v>
      </c>
      <c r="AG17" s="7">
        <v>1.1598520689279739</v>
      </c>
      <c r="AH17" s="7">
        <v>1.0159696993186795</v>
      </c>
      <c r="AI17" s="7">
        <v>1.2373491823999048</v>
      </c>
      <c r="AJ17" s="7">
        <v>3.810908726864287</v>
      </c>
      <c r="AK17" s="7">
        <v>2.5241289546320957</v>
      </c>
      <c r="AL17" s="7">
        <v>0.05923513883988374</v>
      </c>
      <c r="AM17" s="7">
        <v>0.09509544589604471</v>
      </c>
      <c r="AN17" s="7">
        <v>0.07716742458358716</v>
      </c>
      <c r="AO17" s="7">
        <v>1.6994901586887738</v>
      </c>
      <c r="AP17" s="7">
        <v>5.307497593303311</v>
      </c>
      <c r="AQ17" s="7">
        <v>3.50349317961333</v>
      </c>
      <c r="AR17" s="7">
        <v>6.256864906715934</v>
      </c>
      <c r="AS17" s="7">
        <v>12.25299556705442</v>
      </c>
      <c r="AT17" s="7">
        <v>9.25492988932807</v>
      </c>
      <c r="AU17" s="7">
        <v>4.990000972893762</v>
      </c>
      <c r="AV17" s="7">
        <v>5.906089427959159</v>
      </c>
      <c r="AW17" s="7">
        <v>5.448045265462356</v>
      </c>
      <c r="AX17" s="7">
        <v>9.633675895097838</v>
      </c>
      <c r="AY17" s="7">
        <v>16.96918191658056</v>
      </c>
      <c r="AZ17" s="7">
        <v>13.301429417482415</v>
      </c>
      <c r="BA17" s="7">
        <v>1.0254991097056068</v>
      </c>
      <c r="BB17" s="7">
        <v>1.347320125509854</v>
      </c>
      <c r="BC17" s="7">
        <v>1.186409617607731</v>
      </c>
      <c r="BD17" s="7">
        <v>0.989342272795206</v>
      </c>
      <c r="BE17" s="7">
        <v>3.080918525905529</v>
      </c>
      <c r="BF17" s="7">
        <v>2.0351303993503675</v>
      </c>
      <c r="BG17" s="7">
        <v>0.04886890843693883</v>
      </c>
      <c r="BH17" s="7">
        <v>0.07653706945424103</v>
      </c>
      <c r="BI17" s="7">
        <v>0.0627033571426472</v>
      </c>
      <c r="BJ17" s="7">
        <v>0.979453082831193</v>
      </c>
      <c r="BK17" s="7">
        <v>3.451296029987714</v>
      </c>
      <c r="BL17" s="7">
        <v>2.215374044766235</v>
      </c>
      <c r="BM17" s="56">
        <v>29184.34576745515</v>
      </c>
      <c r="BN17" s="56">
        <v>59755.412899353294</v>
      </c>
      <c r="BO17" s="56">
        <v>44469.87933478357</v>
      </c>
      <c r="BP17" s="56">
        <v>133710.13359457135</v>
      </c>
      <c r="BQ17" s="56">
        <v>252827.147449396</v>
      </c>
      <c r="BR17" s="56">
        <v>193268.64052193475</v>
      </c>
      <c r="BS17" s="7">
        <f t="shared" si="0"/>
        <v>13.744797470745606</v>
      </c>
      <c r="BT17" s="56">
        <v>199446504.7673942</v>
      </c>
      <c r="BU17" s="8">
        <v>218089203.053</v>
      </c>
      <c r="BV17" s="57">
        <f t="shared" si="32"/>
        <v>91.45180136172296</v>
      </c>
      <c r="BW17">
        <v>116626492.48381878</v>
      </c>
      <c r="BX17">
        <v>625931.6608841999</v>
      </c>
      <c r="BY17">
        <v>31380720.498831064</v>
      </c>
      <c r="BZ17">
        <v>35930294.33878018</v>
      </c>
      <c r="CA17">
        <v>0</v>
      </c>
      <c r="CB17">
        <v>3940603.7078661895</v>
      </c>
      <c r="CC17">
        <v>42810375.80942164</v>
      </c>
      <c r="CD17">
        <v>2722006.163933</v>
      </c>
      <c r="CE17" s="7">
        <v>58.4750746170434</v>
      </c>
      <c r="CF17" s="7">
        <v>0.3138343595512976</v>
      </c>
      <c r="CG17" s="7">
        <v>15.733903452170814</v>
      </c>
      <c r="CH17" s="7">
        <v>18.01500326149316</v>
      </c>
      <c r="CI17" s="7">
        <v>0</v>
      </c>
      <c r="CJ17" s="7">
        <v>1.9757697496187985</v>
      </c>
      <c r="CK17" s="7">
        <v>21.464590647677444</v>
      </c>
      <c r="CL17" s="7">
        <v>1.3647800783009747</v>
      </c>
      <c r="CM17" s="7">
        <v>0.014523181916452965</v>
      </c>
      <c r="CN17" s="56">
        <f t="shared" si="2"/>
        <v>6364790.710047487</v>
      </c>
      <c r="CO17" s="56">
        <f t="shared" si="3"/>
        <v>130320103.77322917</v>
      </c>
      <c r="CP17" s="56">
        <f t="shared" si="4"/>
        <v>9698400.54398602</v>
      </c>
      <c r="CQ17" s="6">
        <f t="shared" si="5"/>
        <v>3.482976705635666</v>
      </c>
      <c r="CR17" s="6">
        <f t="shared" si="6"/>
        <v>5.485882513417661</v>
      </c>
      <c r="CS17" s="6">
        <f t="shared" si="7"/>
        <v>4.484485324905995</v>
      </c>
      <c r="CT17" s="58">
        <f t="shared" si="8"/>
        <v>19298770.68049405</v>
      </c>
      <c r="CU17" s="58">
        <f t="shared" si="9"/>
        <v>30396639.872806057</v>
      </c>
      <c r="CV17" s="58">
        <f t="shared" si="10"/>
        <v>24848013.98911642</v>
      </c>
      <c r="CW17">
        <f t="shared" si="11"/>
        <v>29160736475.75023</v>
      </c>
      <c r="CX17">
        <f t="shared" si="12"/>
        <v>55138871097.40209</v>
      </c>
      <c r="CY17">
        <f t="shared" si="13"/>
        <v>42149803786.56549</v>
      </c>
      <c r="CZ17" s="59">
        <v>877.219</v>
      </c>
      <c r="DA17" s="59">
        <v>57.9145</v>
      </c>
      <c r="DB17" s="6">
        <v>3.241150823171283</v>
      </c>
      <c r="DC17" s="6">
        <v>9.123010090125739</v>
      </c>
      <c r="DD17" s="6">
        <v>4.7540180141244175</v>
      </c>
      <c r="DE17" s="6">
        <v>4.930230313779897</v>
      </c>
      <c r="DF17" s="6">
        <v>0.5051144140007193</v>
      </c>
      <c r="DG17" s="6">
        <v>55.87209192120702</v>
      </c>
      <c r="DH17" s="6">
        <v>3.605543002552521</v>
      </c>
      <c r="DI17" s="6">
        <v>4.782079926013346</v>
      </c>
      <c r="DJ17" s="6">
        <v>0.82947710142275</v>
      </c>
      <c r="DK17" s="6">
        <v>3.747915937871351</v>
      </c>
      <c r="DL17" s="6">
        <v>7.502434678540097</v>
      </c>
      <c r="DM17" s="6">
        <v>0.8043039157576815</v>
      </c>
      <c r="DN17" s="6">
        <v>0.05117172167981145</v>
      </c>
      <c r="DO17" s="6">
        <v>0.2529698821751969</v>
      </c>
      <c r="DP17" s="6">
        <v>18.224</v>
      </c>
      <c r="DQ17" t="s">
        <v>441</v>
      </c>
      <c r="DR17" t="s">
        <v>441</v>
      </c>
      <c r="DS17" s="59">
        <v>1</v>
      </c>
      <c r="DT17">
        <v>2</v>
      </c>
      <c r="DU17">
        <f t="shared" si="14"/>
        <v>0</v>
      </c>
      <c r="DV17">
        <f t="shared" si="15"/>
        <v>1</v>
      </c>
      <c r="DW17">
        <f t="shared" si="16"/>
        <v>0</v>
      </c>
      <c r="DX17">
        <f t="shared" si="17"/>
        <v>1.04875736</v>
      </c>
      <c r="DY17" s="59">
        <f t="shared" si="18"/>
        <v>228722.65683836822</v>
      </c>
      <c r="DZ17">
        <f t="shared" si="20"/>
        <v>228722.65683836822</v>
      </c>
      <c r="EA17">
        <f t="shared" si="21"/>
        <v>6364790.710047487</v>
      </c>
      <c r="EB17">
        <f t="shared" si="22"/>
        <v>130320103.77322917</v>
      </c>
      <c r="EC17">
        <f t="shared" si="23"/>
        <v>9698400.54398602</v>
      </c>
      <c r="ED17" s="7">
        <f t="shared" si="19"/>
        <v>0.08356213762481036</v>
      </c>
      <c r="EE17">
        <f t="shared" si="24"/>
        <v>228722.65683836822</v>
      </c>
      <c r="EF17">
        <f t="shared" si="25"/>
        <v>6364790.710047487</v>
      </c>
      <c r="EG17">
        <f t="shared" si="26"/>
        <v>130320103.77322917</v>
      </c>
      <c r="EH17">
        <f t="shared" si="27"/>
        <v>9698400.54398602</v>
      </c>
      <c r="EI17">
        <f t="shared" si="28"/>
        <v>0</v>
      </c>
      <c r="EJ17">
        <f t="shared" si="29"/>
        <v>0</v>
      </c>
      <c r="EK17">
        <f t="shared" si="30"/>
        <v>0</v>
      </c>
      <c r="EL17">
        <f t="shared" si="31"/>
        <v>0</v>
      </c>
    </row>
    <row r="18" spans="1:142" ht="12.75">
      <c r="A18" s="55" t="s">
        <v>458</v>
      </c>
      <c r="B18" t="s">
        <v>459</v>
      </c>
      <c r="C18" s="7">
        <v>20.099876003001526</v>
      </c>
      <c r="D18" s="7">
        <v>12.453641022379104</v>
      </c>
      <c r="E18" s="7">
        <v>5.228509517407336</v>
      </c>
      <c r="F18" s="7">
        <v>6.165743855466635</v>
      </c>
      <c r="G18" s="7">
        <v>5.697126686436986</v>
      </c>
      <c r="H18" s="7">
        <v>3.9564322348543812</v>
      </c>
      <c r="I18" s="7">
        <v>10.627861633833824</v>
      </c>
      <c r="J18" s="7">
        <v>7.2921469343441006</v>
      </c>
      <c r="K18" s="7">
        <v>0.9330249477676749</v>
      </c>
      <c r="L18" s="7">
        <v>1.1768631753298888</v>
      </c>
      <c r="M18" s="7">
        <v>1.054944061548782</v>
      </c>
      <c r="N18" s="7">
        <v>2.6617971769933195</v>
      </c>
      <c r="O18" s="7">
        <v>8.434322016036447</v>
      </c>
      <c r="P18" s="7">
        <v>5.548059596514883</v>
      </c>
      <c r="Q18" s="7">
        <v>0.05332972268886474</v>
      </c>
      <c r="R18" s="7">
        <v>0.08958638180985448</v>
      </c>
      <c r="S18" s="7">
        <v>0.07145805224935961</v>
      </c>
      <c r="T18" s="7">
        <v>1.0764739954484221</v>
      </c>
      <c r="U18" s="7">
        <v>2.8002028708203017</v>
      </c>
      <c r="V18" s="7">
        <v>1.9383384331343625</v>
      </c>
      <c r="W18" s="7">
        <v>10.233853671163683</v>
      </c>
      <c r="X18" s="7">
        <v>23.281908934528825</v>
      </c>
      <c r="Y18" s="7">
        <v>16.757884590360558</v>
      </c>
      <c r="Z18" s="7">
        <v>5.39928239133069</v>
      </c>
      <c r="AA18" s="7">
        <v>6.165743855466635</v>
      </c>
      <c r="AB18" s="7">
        <v>5.782509755272546</v>
      </c>
      <c r="AC18" s="7">
        <v>3.9564322348543812</v>
      </c>
      <c r="AD18" s="7">
        <v>10.159863570028339</v>
      </c>
      <c r="AE18" s="7">
        <v>7.058147902441359</v>
      </c>
      <c r="AF18" s="7">
        <v>1.1783523496599817</v>
      </c>
      <c r="AG18" s="7">
        <v>1.4270325755606166</v>
      </c>
      <c r="AH18" s="7">
        <v>1.3026965255407401</v>
      </c>
      <c r="AI18" s="7">
        <v>3.936914263333802</v>
      </c>
      <c r="AJ18" s="7">
        <v>16.922357341804723</v>
      </c>
      <c r="AK18" s="7">
        <v>10.429632515054955</v>
      </c>
      <c r="AL18" s="7">
        <v>0.05215972752935103</v>
      </c>
      <c r="AM18" s="7">
        <v>0.08958638180985448</v>
      </c>
      <c r="AN18" s="7">
        <v>0.07087383008573911</v>
      </c>
      <c r="AO18" s="7">
        <v>0.8793307782669937</v>
      </c>
      <c r="AP18" s="7">
        <v>2.181376940814345</v>
      </c>
      <c r="AQ18" s="7">
        <v>1.530353859540669</v>
      </c>
      <c r="AR18" s="7">
        <v>21.192236878038585</v>
      </c>
      <c r="AS18" s="7">
        <v>29.674881965622596</v>
      </c>
      <c r="AT18" s="7">
        <v>25.43356006437818</v>
      </c>
      <c r="AU18" s="7">
        <v>5.662936241540764</v>
      </c>
      <c r="AV18" s="7">
        <v>6.165743855466635</v>
      </c>
      <c r="AW18" s="7">
        <v>5.914340048503701</v>
      </c>
      <c r="AX18" s="7">
        <v>3.9564322348543812</v>
      </c>
      <c r="AY18" s="7">
        <v>9.846948733492546</v>
      </c>
      <c r="AZ18" s="7">
        <v>6.9016904841734625</v>
      </c>
      <c r="BA18" s="7">
        <v>1.5911287283124296</v>
      </c>
      <c r="BB18" s="7">
        <v>1.8572745695524933</v>
      </c>
      <c r="BC18" s="7">
        <v>1.7242016489324612</v>
      </c>
      <c r="BD18" s="7">
        <v>4.30635718099942</v>
      </c>
      <c r="BE18" s="7">
        <v>21.436802010614112</v>
      </c>
      <c r="BF18" s="7">
        <v>12.871579595806766</v>
      </c>
      <c r="BG18" s="7">
        <v>0.05046759305476759</v>
      </c>
      <c r="BH18" s="7">
        <v>0.08776540194819249</v>
      </c>
      <c r="BI18" s="7">
        <v>0.06911714004906709</v>
      </c>
      <c r="BJ18" s="7">
        <v>0.5701627122767617</v>
      </c>
      <c r="BK18" s="7">
        <v>1.1139563663906207</v>
      </c>
      <c r="BL18" s="7">
        <v>0.8420595393336913</v>
      </c>
      <c r="BM18" s="56">
        <v>17144.117623229944</v>
      </c>
      <c r="BN18" s="56">
        <v>32808.70671056467</v>
      </c>
      <c r="BO18" s="56">
        <v>24976.412170960237</v>
      </c>
      <c r="BP18" s="56">
        <v>329404.1644379028</v>
      </c>
      <c r="BQ18" s="56">
        <v>569411.754279551</v>
      </c>
      <c r="BR18" s="56">
        <v>449407.9593554394</v>
      </c>
      <c r="BS18" s="7">
        <f t="shared" si="0"/>
        <v>7.042364741514748</v>
      </c>
      <c r="BT18" s="56">
        <v>2174623.8198890346</v>
      </c>
      <c r="BU18" s="8">
        <v>2177368.09194</v>
      </c>
      <c r="BV18" s="57">
        <f t="shared" si="32"/>
        <v>99.8739637978014</v>
      </c>
      <c r="BW18">
        <v>0</v>
      </c>
      <c r="BX18">
        <v>0</v>
      </c>
      <c r="BY18">
        <v>1429314.6765735801</v>
      </c>
      <c r="BZ18">
        <v>738805.9651098901</v>
      </c>
      <c r="CA18">
        <v>5732.52542092</v>
      </c>
      <c r="CB18">
        <v>770.652784644</v>
      </c>
      <c r="CC18">
        <v>0</v>
      </c>
      <c r="CD18">
        <v>0</v>
      </c>
      <c r="CE18" s="7">
        <v>0</v>
      </c>
      <c r="CF18" s="7">
        <v>0</v>
      </c>
      <c r="CG18" s="7">
        <v>65.72698521468942</v>
      </c>
      <c r="CH18" s="7">
        <v>33.973966363873885</v>
      </c>
      <c r="CI18" s="7">
        <v>0.2636099801947592</v>
      </c>
      <c r="CJ18" s="7">
        <v>0.0354384412419121</v>
      </c>
      <c r="CK18" s="7">
        <v>0</v>
      </c>
      <c r="CL18" s="7">
        <v>0</v>
      </c>
      <c r="CM18" s="7">
        <v>0.2637034325807673</v>
      </c>
      <c r="CN18" s="56">
        <f t="shared" si="2"/>
        <v>37329.05467728712</v>
      </c>
      <c r="CO18" s="56">
        <f t="shared" si="3"/>
        <v>714366.3112940127</v>
      </c>
      <c r="CP18" s="56">
        <f t="shared" si="4"/>
        <v>54382.84291219069</v>
      </c>
      <c r="CQ18" s="6">
        <f t="shared" si="5"/>
        <v>3.103012366285224</v>
      </c>
      <c r="CR18" s="6">
        <f t="shared" si="6"/>
        <v>5.331479391911381</v>
      </c>
      <c r="CS18" s="6">
        <f t="shared" si="7"/>
        <v>4.2172799102276635</v>
      </c>
      <c r="CT18" s="58">
        <f t="shared" si="8"/>
        <v>171656.50699300517</v>
      </c>
      <c r="CU18" s="58">
        <f t="shared" si="9"/>
        <v>294933.76805852435</v>
      </c>
      <c r="CV18" s="58">
        <f t="shared" si="10"/>
        <v>233297.02010440303</v>
      </c>
      <c r="CW18">
        <f t="shared" si="11"/>
        <v>717234116.9992465</v>
      </c>
      <c r="CX18">
        <f t="shared" si="12"/>
        <v>1239818984.9438744</v>
      </c>
      <c r="CY18">
        <f t="shared" si="13"/>
        <v>978526550.9644022</v>
      </c>
      <c r="CZ18" s="59">
        <v>78.6485</v>
      </c>
      <c r="DA18" s="59">
        <v>10.7218</v>
      </c>
      <c r="DB18" s="6">
        <v>0.08</v>
      </c>
      <c r="DC18" s="6">
        <v>5.87</v>
      </c>
      <c r="DD18" s="6">
        <v>8.81</v>
      </c>
      <c r="DE18" s="6">
        <v>13.03</v>
      </c>
      <c r="DF18" s="6">
        <v>0</v>
      </c>
      <c r="DG18" s="6">
        <v>57.98</v>
      </c>
      <c r="DH18" s="6">
        <v>9.26</v>
      </c>
      <c r="DI18" s="6">
        <v>0</v>
      </c>
      <c r="DJ18" s="6">
        <v>0</v>
      </c>
      <c r="DK18" s="6">
        <v>4.43</v>
      </c>
      <c r="DL18" s="6">
        <v>0</v>
      </c>
      <c r="DM18" s="6">
        <v>0.5</v>
      </c>
      <c r="DN18" s="6">
        <v>0.04</v>
      </c>
      <c r="DO18" s="6">
        <v>0</v>
      </c>
      <c r="DP18" s="6">
        <v>16.6734</v>
      </c>
      <c r="DQ18" t="s">
        <v>422</v>
      </c>
      <c r="DR18" t="s">
        <v>423</v>
      </c>
      <c r="DS18" s="59">
        <v>1</v>
      </c>
      <c r="DT18">
        <v>1</v>
      </c>
      <c r="DU18">
        <f t="shared" si="14"/>
        <v>1</v>
      </c>
      <c r="DV18">
        <f t="shared" si="15"/>
        <v>0</v>
      </c>
      <c r="DW18">
        <f t="shared" si="16"/>
        <v>0</v>
      </c>
      <c r="DX18">
        <f t="shared" si="17"/>
        <v>1.49595684</v>
      </c>
      <c r="DY18" s="59">
        <f t="shared" si="18"/>
        <v>3257.2486903353924</v>
      </c>
      <c r="DZ18">
        <f t="shared" si="20"/>
        <v>3257.2486903353924</v>
      </c>
      <c r="EA18">
        <f t="shared" si="21"/>
        <v>37329.05467728712</v>
      </c>
      <c r="EB18">
        <f t="shared" si="22"/>
        <v>714366.3112940127</v>
      </c>
      <c r="EC18">
        <f t="shared" si="23"/>
        <v>54382.84291219069</v>
      </c>
      <c r="ED18" s="7">
        <f t="shared" si="19"/>
        <v>7.657593615760333</v>
      </c>
      <c r="EE18">
        <f t="shared" si="24"/>
        <v>0</v>
      </c>
      <c r="EF18">
        <f t="shared" si="25"/>
        <v>0</v>
      </c>
      <c r="EG18">
        <f t="shared" si="26"/>
        <v>0</v>
      </c>
      <c r="EH18">
        <f t="shared" si="27"/>
        <v>0</v>
      </c>
      <c r="EI18">
        <f t="shared" si="28"/>
        <v>3257.2486903353924</v>
      </c>
      <c r="EJ18">
        <f t="shared" si="29"/>
        <v>37329.05467728712</v>
      </c>
      <c r="EK18">
        <f t="shared" si="30"/>
        <v>714366.3112940127</v>
      </c>
      <c r="EL18">
        <f t="shared" si="31"/>
        <v>54382.84291219069</v>
      </c>
    </row>
    <row r="19" spans="1:142" ht="12.75">
      <c r="A19" s="55" t="s">
        <v>460</v>
      </c>
      <c r="B19" t="s">
        <v>461</v>
      </c>
      <c r="C19" s="7">
        <v>50.24135406523554</v>
      </c>
      <c r="D19" s="7">
        <v>37.71936556144899</v>
      </c>
      <c r="E19" s="7">
        <v>5.1</v>
      </c>
      <c r="F19" s="7">
        <v>5.502258001868397</v>
      </c>
      <c r="G19" s="7">
        <v>5.301129000934199</v>
      </c>
      <c r="H19" s="7">
        <v>5.019175006261164</v>
      </c>
      <c r="I19" s="7">
        <v>10.095875031305816</v>
      </c>
      <c r="J19" s="7">
        <v>7.557525018783489</v>
      </c>
      <c r="K19" s="7">
        <v>0.8471237490608257</v>
      </c>
      <c r="L19" s="7">
        <v>1.0969319989982143</v>
      </c>
      <c r="M19" s="7">
        <v>0.97202787402952</v>
      </c>
      <c r="N19" s="7">
        <v>2</v>
      </c>
      <c r="O19" s="7">
        <v>6</v>
      </c>
      <c r="P19" s="7">
        <v>4</v>
      </c>
      <c r="Q19" s="7">
        <v>0.040805350262968845</v>
      </c>
      <c r="R19" s="7">
        <v>0.07092721032538142</v>
      </c>
      <c r="S19" s="7">
        <v>0.055866280294175126</v>
      </c>
      <c r="T19" s="7">
        <v>1.14956504883707</v>
      </c>
      <c r="U19" s="7">
        <v>2.3510281214068405</v>
      </c>
      <c r="V19" s="7">
        <v>1.7502965851219547</v>
      </c>
      <c r="W19" s="7">
        <v>27.550123479040504</v>
      </c>
      <c r="X19" s="7">
        <v>45.18375700797125</v>
      </c>
      <c r="Y19" s="7">
        <v>36.36694024350587</v>
      </c>
      <c r="Z19" s="7">
        <v>5.349041249686943</v>
      </c>
      <c r="AA19" s="7">
        <v>5.75017025062114</v>
      </c>
      <c r="AB19" s="7">
        <v>5.549605750154041</v>
      </c>
      <c r="AC19" s="7">
        <v>4.96953498439686</v>
      </c>
      <c r="AD19" s="7">
        <v>9.943585972530512</v>
      </c>
      <c r="AE19" s="7">
        <v>7.456560478463685</v>
      </c>
      <c r="AF19" s="7">
        <v>1.2691498221283253</v>
      </c>
      <c r="AG19" s="7">
        <v>1.5443245471288232</v>
      </c>
      <c r="AH19" s="7">
        <v>1.4067371846285743</v>
      </c>
      <c r="AI19" s="7">
        <v>1.0109758347060938</v>
      </c>
      <c r="AJ19" s="7">
        <v>3.0657055042128842</v>
      </c>
      <c r="AK19" s="7">
        <v>2.0383406694594894</v>
      </c>
      <c r="AL19" s="7">
        <v>0.040760190225600935</v>
      </c>
      <c r="AM19" s="7">
        <v>0.0708368902506456</v>
      </c>
      <c r="AN19" s="7">
        <v>0.05579854023812325</v>
      </c>
      <c r="AO19" s="7">
        <v>0.8621737866278025</v>
      </c>
      <c r="AP19" s="7">
        <v>1.7311215788607919</v>
      </c>
      <c r="AQ19" s="7">
        <v>1.2966476827442976</v>
      </c>
      <c r="AR19" s="7">
        <v>29.97956992546324</v>
      </c>
      <c r="AS19" s="7">
        <v>40.126159950706956</v>
      </c>
      <c r="AT19" s="7">
        <v>35.052864938085094</v>
      </c>
      <c r="AU19" s="7">
        <v>5.598082499373884</v>
      </c>
      <c r="AV19" s="7">
        <v>5.998082499373884</v>
      </c>
      <c r="AW19" s="7">
        <v>5.7980824993738835</v>
      </c>
      <c r="AX19" s="7">
        <v>4.958244975054881</v>
      </c>
      <c r="AY19" s="7">
        <v>9.925521957583346</v>
      </c>
      <c r="AZ19" s="7">
        <v>7.441883466319114</v>
      </c>
      <c r="BA19" s="7">
        <v>1.6906006450079902</v>
      </c>
      <c r="BB19" s="7">
        <v>1.9905665948837623</v>
      </c>
      <c r="BC19" s="7">
        <v>1.8405836199458772</v>
      </c>
      <c r="BD19" s="7">
        <v>0.028854671666205714</v>
      </c>
      <c r="BE19" s="7">
        <v>0.15212001518782553</v>
      </c>
      <c r="BF19" s="7">
        <v>0.09048734342701563</v>
      </c>
      <c r="BG19" s="7">
        <v>0.04071503018823302</v>
      </c>
      <c r="BH19" s="7">
        <v>0.07074657017590977</v>
      </c>
      <c r="BI19" s="7">
        <v>0.05573080018207138</v>
      </c>
      <c r="BJ19" s="7">
        <v>0.6131325369408607</v>
      </c>
      <c r="BK19" s="7">
        <v>1.2262650738817213</v>
      </c>
      <c r="BL19" s="7">
        <v>0.919698805411291</v>
      </c>
      <c r="BM19" s="56">
        <v>17432.190233366608</v>
      </c>
      <c r="BN19" s="56">
        <v>27934.871866497757</v>
      </c>
      <c r="BO19" s="56">
        <v>22683.53104993218</v>
      </c>
      <c r="BP19" s="56">
        <v>645961.0571967583</v>
      </c>
      <c r="BQ19" s="56">
        <v>982773.2592358516</v>
      </c>
      <c r="BR19" s="56">
        <v>814367.1582163052</v>
      </c>
      <c r="BS19" s="7">
        <f t="shared" si="0"/>
        <v>7.470882581669818</v>
      </c>
      <c r="BT19" s="56">
        <v>2939098.6512622596</v>
      </c>
      <c r="BU19" s="8">
        <v>2941062.56416</v>
      </c>
      <c r="BV19" s="57">
        <f t="shared" si="32"/>
        <v>99.93322437537803</v>
      </c>
      <c r="BW19">
        <v>0</v>
      </c>
      <c r="BX19">
        <v>0</v>
      </c>
      <c r="BY19">
        <v>0</v>
      </c>
      <c r="BZ19">
        <v>2925076.75232961</v>
      </c>
      <c r="CA19">
        <v>11260.85841418</v>
      </c>
      <c r="CB19">
        <v>2761.04051847</v>
      </c>
      <c r="CC19">
        <v>0</v>
      </c>
      <c r="CD19">
        <v>0</v>
      </c>
      <c r="CE19" s="7">
        <v>0</v>
      </c>
      <c r="CF19" s="7">
        <v>0</v>
      </c>
      <c r="CG19" s="7">
        <v>0</v>
      </c>
      <c r="CH19" s="7">
        <v>99.52291839790313</v>
      </c>
      <c r="CI19" s="7">
        <v>0.383139858518998</v>
      </c>
      <c r="CJ19" s="7">
        <v>0.09394174357788948</v>
      </c>
      <c r="CK19" s="7">
        <v>0</v>
      </c>
      <c r="CL19" s="7">
        <v>0</v>
      </c>
      <c r="CM19" s="7">
        <v>0.3835001252232561</v>
      </c>
      <c r="CN19" s="56">
        <f t="shared" si="2"/>
        <v>51269.162106670105</v>
      </c>
      <c r="CO19" s="56">
        <f t="shared" si="3"/>
        <v>821582.0588116293</v>
      </c>
      <c r="CP19" s="56">
        <f t="shared" si="4"/>
        <v>66713.68399391651</v>
      </c>
      <c r="CQ19" s="6">
        <f t="shared" si="5"/>
        <v>2.445069493087641</v>
      </c>
      <c r="CR19" s="6">
        <f t="shared" si="6"/>
        <v>4.2491295741419055</v>
      </c>
      <c r="CS19" s="6">
        <f t="shared" si="7"/>
        <v>3.347099533614773</v>
      </c>
      <c r="CT19" s="58">
        <f t="shared" si="8"/>
        <v>182700.7711608163</v>
      </c>
      <c r="CU19" s="58">
        <f t="shared" si="9"/>
        <v>317503.9614017754</v>
      </c>
      <c r="CV19" s="58">
        <f t="shared" si="10"/>
        <v>250102.36628129586</v>
      </c>
      <c r="CW19">
        <f t="shared" si="11"/>
        <v>1899811883.2266026</v>
      </c>
      <c r="CX19">
        <f t="shared" si="12"/>
        <v>2890397641.7960744</v>
      </c>
      <c r="CY19">
        <f t="shared" si="13"/>
        <v>2395104762.5113387</v>
      </c>
      <c r="CZ19" s="59">
        <v>143.524</v>
      </c>
      <c r="DA19" s="59">
        <v>10.5047</v>
      </c>
      <c r="DB19" s="6">
        <v>0.37</v>
      </c>
      <c r="DC19" s="6">
        <v>11.71</v>
      </c>
      <c r="DD19" s="6">
        <v>4.69</v>
      </c>
      <c r="DE19" s="6">
        <v>5.88</v>
      </c>
      <c r="DF19" s="6">
        <v>0</v>
      </c>
      <c r="DG19" s="6">
        <v>45.63</v>
      </c>
      <c r="DH19" s="6">
        <v>11.25</v>
      </c>
      <c r="DI19" s="6">
        <v>0</v>
      </c>
      <c r="DJ19" s="6">
        <v>0.12</v>
      </c>
      <c r="DK19" s="6">
        <v>19.25</v>
      </c>
      <c r="DL19" s="6">
        <v>0</v>
      </c>
      <c r="DM19" s="6">
        <v>0.8</v>
      </c>
      <c r="DN19" s="6">
        <v>0.31</v>
      </c>
      <c r="DO19" s="6">
        <v>0</v>
      </c>
      <c r="DP19" s="6">
        <v>47.9024</v>
      </c>
      <c r="DQ19" t="s">
        <v>441</v>
      </c>
      <c r="DR19" t="s">
        <v>441</v>
      </c>
      <c r="DS19" s="59">
        <v>1</v>
      </c>
      <c r="DT19">
        <v>1</v>
      </c>
      <c r="DU19">
        <f t="shared" si="14"/>
        <v>1</v>
      </c>
      <c r="DV19">
        <f t="shared" si="15"/>
        <v>0</v>
      </c>
      <c r="DW19">
        <f t="shared" si="16"/>
        <v>0</v>
      </c>
      <c r="DX19">
        <f t="shared" si="17"/>
        <v>1.45962656</v>
      </c>
      <c r="DY19" s="59">
        <f t="shared" si="18"/>
        <v>4292.85303326964</v>
      </c>
      <c r="DZ19">
        <f t="shared" si="20"/>
        <v>4292.85303326964</v>
      </c>
      <c r="EA19">
        <f t="shared" si="21"/>
        <v>51269.162106670105</v>
      </c>
      <c r="EB19">
        <f t="shared" si="22"/>
        <v>821582.0588116293</v>
      </c>
      <c r="EC19">
        <f t="shared" si="23"/>
        <v>66713.68399391651</v>
      </c>
      <c r="ED19" s="7">
        <f t="shared" si="19"/>
        <v>16.28744678326197</v>
      </c>
      <c r="EE19">
        <f t="shared" si="24"/>
        <v>0</v>
      </c>
      <c r="EF19">
        <f t="shared" si="25"/>
        <v>0</v>
      </c>
      <c r="EG19">
        <f t="shared" si="26"/>
        <v>0</v>
      </c>
      <c r="EH19">
        <f t="shared" si="27"/>
        <v>0</v>
      </c>
      <c r="EI19">
        <f t="shared" si="28"/>
        <v>4292.85303326964</v>
      </c>
      <c r="EJ19">
        <f t="shared" si="29"/>
        <v>51269.162106670105</v>
      </c>
      <c r="EK19">
        <f t="shared" si="30"/>
        <v>821582.0588116293</v>
      </c>
      <c r="EL19">
        <f t="shared" si="31"/>
        <v>66713.68399391651</v>
      </c>
    </row>
    <row r="20" spans="1:142" ht="12.75">
      <c r="A20" s="55" t="s">
        <v>462</v>
      </c>
      <c r="B20" t="s">
        <v>463</v>
      </c>
      <c r="C20" s="7">
        <v>24.58562924487443</v>
      </c>
      <c r="D20" s="7">
        <v>14.76162160474072</v>
      </c>
      <c r="E20" s="7">
        <v>5.119124668892782</v>
      </c>
      <c r="F20" s="7">
        <v>6.016557210778137</v>
      </c>
      <c r="G20" s="7">
        <v>5.56784093983546</v>
      </c>
      <c r="H20" s="7">
        <v>5.074619562764735</v>
      </c>
      <c r="I20" s="7">
        <v>10.601719938353336</v>
      </c>
      <c r="J20" s="7">
        <v>7.838169750559036</v>
      </c>
      <c r="K20" s="7">
        <v>0.8721549361600426</v>
      </c>
      <c r="L20" s="7">
        <v>1.1196016144880039</v>
      </c>
      <c r="M20" s="7">
        <v>0.9958782753240234</v>
      </c>
      <c r="N20" s="7">
        <v>2.051007167952921</v>
      </c>
      <c r="O20" s="7">
        <v>6.202636710981098</v>
      </c>
      <c r="P20" s="7">
        <v>4.126821939467009</v>
      </c>
      <c r="Q20" s="7">
        <v>0.06072354194684712</v>
      </c>
      <c r="R20" s="7">
        <v>0.10098796650208179</v>
      </c>
      <c r="S20" s="7">
        <v>0.08085575422446446</v>
      </c>
      <c r="T20" s="7">
        <v>1</v>
      </c>
      <c r="U20" s="7">
        <v>2.984016865616688</v>
      </c>
      <c r="V20" s="7">
        <v>1.992008432808344</v>
      </c>
      <c r="W20" s="7">
        <v>12.863283905112423</v>
      </c>
      <c r="X20" s="7">
        <v>29.341033111339225</v>
      </c>
      <c r="Y20" s="7">
        <v>21.10216326362969</v>
      </c>
      <c r="Z20" s="7">
        <v>5.2820158970762705</v>
      </c>
      <c r="AA20" s="7">
        <v>6.016557210778137</v>
      </c>
      <c r="AB20" s="7">
        <v>5.649281697726404</v>
      </c>
      <c r="AC20" s="7">
        <v>5.074619562764735</v>
      </c>
      <c r="AD20" s="7">
        <v>10.593602892353012</v>
      </c>
      <c r="AE20" s="7">
        <v>7.834111227558874</v>
      </c>
      <c r="AF20" s="7">
        <v>1.1433111947593733</v>
      </c>
      <c r="AG20" s="7">
        <v>1.4061750711239585</v>
      </c>
      <c r="AH20" s="7">
        <v>1.2747479045796244</v>
      </c>
      <c r="AI20" s="7">
        <v>1.539760381504839</v>
      </c>
      <c r="AJ20" s="7">
        <v>5.019421407186198</v>
      </c>
      <c r="AK20" s="7">
        <v>3.279586138941651</v>
      </c>
      <c r="AL20" s="7">
        <v>0.060703249331846315</v>
      </c>
      <c r="AM20" s="7">
        <v>0.10098796650208179</v>
      </c>
      <c r="AN20" s="7">
        <v>0.08084562415105606</v>
      </c>
      <c r="AO20" s="7">
        <v>0.8371087718165124</v>
      </c>
      <c r="AP20" s="7">
        <v>2.3344909267844165</v>
      </c>
      <c r="AQ20" s="7">
        <v>1.5857998493004646</v>
      </c>
      <c r="AR20" s="7">
        <v>28.714633296930998</v>
      </c>
      <c r="AS20" s="7">
        <v>38.833797687504926</v>
      </c>
      <c r="AT20" s="7">
        <v>33.77421555589954</v>
      </c>
      <c r="AU20" s="7">
        <v>5.606368157991594</v>
      </c>
      <c r="AV20" s="7">
        <v>6.016557210778137</v>
      </c>
      <c r="AW20" s="7">
        <v>5.811462684384862</v>
      </c>
      <c r="AX20" s="7">
        <v>5.074619562764735</v>
      </c>
      <c r="AY20" s="7">
        <v>10.588732664752817</v>
      </c>
      <c r="AZ20" s="7">
        <v>7.8316761137587765</v>
      </c>
      <c r="BA20" s="7">
        <v>1.684212941309576</v>
      </c>
      <c r="BB20" s="7">
        <v>1.978043348056952</v>
      </c>
      <c r="BC20" s="7">
        <v>1.8311281446832641</v>
      </c>
      <c r="BD20" s="7">
        <v>0.47748357080548975</v>
      </c>
      <c r="BE20" s="7">
        <v>2.425713309993459</v>
      </c>
      <c r="BF20" s="7">
        <v>1.4515984403994746</v>
      </c>
      <c r="BG20" s="7">
        <v>0.060600900645684894</v>
      </c>
      <c r="BH20" s="7">
        <v>0.1008074929046001</v>
      </c>
      <c r="BI20" s="7">
        <v>0.08070426045672242</v>
      </c>
      <c r="BJ20" s="7">
        <v>0.5082456898694282</v>
      </c>
      <c r="BK20" s="7">
        <v>1.0292682129212172</v>
      </c>
      <c r="BL20" s="7">
        <v>0.7687569513953227</v>
      </c>
      <c r="BM20" s="56">
        <v>16694.996175511747</v>
      </c>
      <c r="BN20" s="56">
        <v>34707.20830131018</v>
      </c>
      <c r="BO20" s="56">
        <v>25701.102243182595</v>
      </c>
      <c r="BP20" s="56">
        <v>437808.54184706346</v>
      </c>
      <c r="BQ20" s="56">
        <v>737643.7729996722</v>
      </c>
      <c r="BR20" s="56">
        <v>587726.1574186125</v>
      </c>
      <c r="BS20" s="7">
        <f t="shared" si="0"/>
        <v>7.833948886638868</v>
      </c>
      <c r="BT20" s="56">
        <v>3069397.17860483</v>
      </c>
      <c r="BU20" s="8">
        <v>3066204.43953</v>
      </c>
      <c r="BV20" s="57">
        <f t="shared" si="32"/>
        <v>100.10412675142169</v>
      </c>
      <c r="BW20">
        <v>0</v>
      </c>
      <c r="BX20">
        <v>39216.78479332</v>
      </c>
      <c r="BY20">
        <v>2919244.64217071</v>
      </c>
      <c r="BZ20">
        <v>110935.75164080001</v>
      </c>
      <c r="CA20">
        <v>0</v>
      </c>
      <c r="CB20">
        <v>0</v>
      </c>
      <c r="CC20">
        <v>0</v>
      </c>
      <c r="CD20">
        <v>0</v>
      </c>
      <c r="CE20" s="7">
        <v>0</v>
      </c>
      <c r="CF20" s="7">
        <v>1.2776705819201175</v>
      </c>
      <c r="CG20" s="7">
        <v>95.10807732929595</v>
      </c>
      <c r="CH20" s="7">
        <v>3.6142520887839273</v>
      </c>
      <c r="CI20" s="7">
        <v>0</v>
      </c>
      <c r="CJ20" s="7">
        <v>0</v>
      </c>
      <c r="CK20" s="7">
        <v>0</v>
      </c>
      <c r="CL20" s="7">
        <v>0</v>
      </c>
      <c r="CM20" s="7">
        <v>1.2776705819201175</v>
      </c>
      <c r="CN20" s="56">
        <f t="shared" si="2"/>
        <v>51190.27139129049</v>
      </c>
      <c r="CO20" s="56">
        <f t="shared" si="3"/>
        <v>1064193.9617716975</v>
      </c>
      <c r="CP20" s="56">
        <f t="shared" si="4"/>
        <v>78804.83379886091</v>
      </c>
      <c r="CQ20" s="6">
        <f t="shared" si="5"/>
        <v>3.6399821028229145</v>
      </c>
      <c r="CR20" s="6">
        <f t="shared" si="6"/>
        <v>6.054946623785346</v>
      </c>
      <c r="CS20" s="6">
        <f t="shared" si="7"/>
        <v>4.847466281280257</v>
      </c>
      <c r="CT20" s="58">
        <f t="shared" si="8"/>
        <v>283560.1952105022</v>
      </c>
      <c r="CU20" s="58">
        <f t="shared" si="9"/>
        <v>471689.63970954815</v>
      </c>
      <c r="CV20" s="58">
        <f t="shared" si="10"/>
        <v>377625.06687331054</v>
      </c>
      <c r="CW20">
        <f t="shared" si="11"/>
        <v>1342410494.6756217</v>
      </c>
      <c r="CX20">
        <f t="shared" si="12"/>
        <v>2261766611.5632544</v>
      </c>
      <c r="CY20">
        <f t="shared" si="13"/>
        <v>1802088553.1048574</v>
      </c>
      <c r="CZ20" s="59">
        <v>69.5781</v>
      </c>
      <c r="DA20" s="59">
        <v>9.85678</v>
      </c>
      <c r="DB20" s="6">
        <v>1.14</v>
      </c>
      <c r="DC20" s="6">
        <v>5.54</v>
      </c>
      <c r="DD20" s="6">
        <v>1.55</v>
      </c>
      <c r="DE20" s="6">
        <v>59.98</v>
      </c>
      <c r="DF20" s="6">
        <v>0</v>
      </c>
      <c r="DG20" s="6">
        <v>4.66</v>
      </c>
      <c r="DH20" s="6">
        <v>15.53</v>
      </c>
      <c r="DI20" s="6">
        <v>0</v>
      </c>
      <c r="DJ20" s="6">
        <v>0.53</v>
      </c>
      <c r="DK20" s="6">
        <v>5.74</v>
      </c>
      <c r="DL20" s="6">
        <v>0</v>
      </c>
      <c r="DM20" s="6">
        <v>5.19</v>
      </c>
      <c r="DN20" s="6">
        <v>0.15</v>
      </c>
      <c r="DO20" s="6">
        <v>0</v>
      </c>
      <c r="DP20" s="6">
        <v>106.259</v>
      </c>
      <c r="DQ20" t="s">
        <v>422</v>
      </c>
      <c r="DR20" t="s">
        <v>423</v>
      </c>
      <c r="DS20" s="59">
        <v>1</v>
      </c>
      <c r="DT20">
        <v>1</v>
      </c>
      <c r="DU20">
        <f t="shared" si="14"/>
        <v>1</v>
      </c>
      <c r="DV20">
        <f t="shared" si="15"/>
        <v>0</v>
      </c>
      <c r="DW20">
        <f t="shared" si="16"/>
        <v>0</v>
      </c>
      <c r="DX20">
        <f t="shared" si="17"/>
        <v>1.5010362640000001</v>
      </c>
      <c r="DY20" s="59">
        <f t="shared" si="18"/>
        <v>4602.484056572325</v>
      </c>
      <c r="DZ20">
        <f t="shared" si="20"/>
        <v>4602.484056572325</v>
      </c>
      <c r="EA20">
        <f t="shared" si="21"/>
        <v>51190.27139129049</v>
      </c>
      <c r="EB20">
        <f t="shared" si="22"/>
        <v>1064193.9617716975</v>
      </c>
      <c r="EC20">
        <f t="shared" si="23"/>
        <v>78804.83379886091</v>
      </c>
      <c r="ED20" s="7">
        <f t="shared" si="19"/>
        <v>34.65489731542095</v>
      </c>
      <c r="EE20">
        <f t="shared" si="24"/>
        <v>0</v>
      </c>
      <c r="EF20">
        <f t="shared" si="25"/>
        <v>0</v>
      </c>
      <c r="EG20">
        <f t="shared" si="26"/>
        <v>0</v>
      </c>
      <c r="EH20">
        <f t="shared" si="27"/>
        <v>0</v>
      </c>
      <c r="EI20">
        <f t="shared" si="28"/>
        <v>4602.484056572325</v>
      </c>
      <c r="EJ20">
        <f t="shared" si="29"/>
        <v>51190.27139129049</v>
      </c>
      <c r="EK20">
        <f t="shared" si="30"/>
        <v>1064193.9617716975</v>
      </c>
      <c r="EL20">
        <f t="shared" si="31"/>
        <v>78804.83379886091</v>
      </c>
    </row>
    <row r="21" spans="1:142" ht="12.75">
      <c r="A21" s="55" t="s">
        <v>464</v>
      </c>
      <c r="B21" t="s">
        <v>465</v>
      </c>
      <c r="C21" s="7">
        <v>35.67253582496649</v>
      </c>
      <c r="D21" s="7">
        <v>26.94597327329634</v>
      </c>
      <c r="E21" s="7">
        <v>4.912028568690594</v>
      </c>
      <c r="F21" s="7">
        <v>5.715518295118209</v>
      </c>
      <c r="G21" s="7">
        <v>5.313773431904401</v>
      </c>
      <c r="H21" s="7">
        <v>5.001973042322648</v>
      </c>
      <c r="I21" s="7">
        <v>10.131031602747287</v>
      </c>
      <c r="J21" s="7">
        <v>7.56650232253497</v>
      </c>
      <c r="K21" s="7">
        <v>0.8527242948744848</v>
      </c>
      <c r="L21" s="7">
        <v>1.101724962487672</v>
      </c>
      <c r="M21" s="7">
        <v>0.9772246286810783</v>
      </c>
      <c r="N21" s="7">
        <v>2.014746461555539</v>
      </c>
      <c r="O21" s="7">
        <v>6.054228062448602</v>
      </c>
      <c r="P21" s="7">
        <v>4.034487262002072</v>
      </c>
      <c r="Q21" s="7">
        <v>0.08542678098018991</v>
      </c>
      <c r="R21" s="7">
        <v>0.11581298275861174</v>
      </c>
      <c r="S21" s="7">
        <v>0.10061988186940082</v>
      </c>
      <c r="T21" s="7">
        <v>2.6153115718507918</v>
      </c>
      <c r="U21" s="7">
        <v>5.26141342843679</v>
      </c>
      <c r="V21" s="7">
        <v>3.9383625001437923</v>
      </c>
      <c r="W21" s="7">
        <v>19.129220615880943</v>
      </c>
      <c r="X21" s="7">
        <v>31.86105322405434</v>
      </c>
      <c r="Y21" s="7">
        <v>25.495136917552855</v>
      </c>
      <c r="Z21" s="7">
        <v>5.064669670975625</v>
      </c>
      <c r="AA21" s="7">
        <v>5.867478515066329</v>
      </c>
      <c r="AB21" s="7">
        <v>5.466073664624205</v>
      </c>
      <c r="AC21" s="7">
        <v>11.85739969431988</v>
      </c>
      <c r="AD21" s="7">
        <v>17.848414059596212</v>
      </c>
      <c r="AE21" s="7">
        <v>14.85290687695805</v>
      </c>
      <c r="AF21" s="7">
        <v>1.2216826411508048</v>
      </c>
      <c r="AG21" s="7">
        <v>1.4552290512791675</v>
      </c>
      <c r="AH21" s="7">
        <v>1.338457494795762</v>
      </c>
      <c r="AI21" s="7">
        <v>1.0508425442711813</v>
      </c>
      <c r="AJ21" s="7">
        <v>3.263360358316399</v>
      </c>
      <c r="AK21" s="7">
        <v>2.15710145129379</v>
      </c>
      <c r="AL21" s="7">
        <v>0.06995717632504994</v>
      </c>
      <c r="AM21" s="7">
        <v>0.09713958470304242</v>
      </c>
      <c r="AN21" s="7">
        <v>0.08355001726216114</v>
      </c>
      <c r="AO21" s="7">
        <v>1.2313462330889342</v>
      </c>
      <c r="AP21" s="7">
        <v>2.9630413330465926</v>
      </c>
      <c r="AQ21" s="7">
        <v>2.09719543181861</v>
      </c>
      <c r="AR21" s="7">
        <v>19.55985519583954</v>
      </c>
      <c r="AS21" s="7">
        <v>27.066527299104838</v>
      </c>
      <c r="AT21" s="7">
        <v>23.31319124747219</v>
      </c>
      <c r="AU21" s="7">
        <v>5.2291148517330095</v>
      </c>
      <c r="AV21" s="7">
        <v>6.013349492960702</v>
      </c>
      <c r="AW21" s="7">
        <v>5.621232185392213</v>
      </c>
      <c r="AX21" s="7">
        <v>11.930145534331155</v>
      </c>
      <c r="AY21" s="7">
        <v>17.82425089622905</v>
      </c>
      <c r="AZ21" s="7">
        <v>14.877198215280105</v>
      </c>
      <c r="BA21" s="7">
        <v>1.4685620769903496</v>
      </c>
      <c r="BB21" s="7">
        <v>1.7158559502762165</v>
      </c>
      <c r="BC21" s="7">
        <v>1.5922090136332834</v>
      </c>
      <c r="BD21" s="7">
        <v>0.5003577186670888</v>
      </c>
      <c r="BE21" s="7">
        <v>1.6477769995216687</v>
      </c>
      <c r="BF21" s="7">
        <v>1.074067359094379</v>
      </c>
      <c r="BG21" s="7">
        <v>0.06822145216186422</v>
      </c>
      <c r="BH21" s="7">
        <v>0.09438217621938193</v>
      </c>
      <c r="BI21" s="7">
        <v>0.08130181419062307</v>
      </c>
      <c r="BJ21" s="7">
        <v>1.0035950884821372</v>
      </c>
      <c r="BK21" s="7">
        <v>2.40467222215385</v>
      </c>
      <c r="BL21" s="7">
        <v>1.7041336553179935</v>
      </c>
      <c r="BM21" s="56">
        <v>28897.17096285526</v>
      </c>
      <c r="BN21" s="56">
        <v>54404.80764587029</v>
      </c>
      <c r="BO21" s="56">
        <v>41650.98930599831</v>
      </c>
      <c r="BP21" s="56">
        <v>426621.17160228215</v>
      </c>
      <c r="BQ21" s="56">
        <v>662536.6392424715</v>
      </c>
      <c r="BR21" s="56">
        <v>544578.90542239</v>
      </c>
      <c r="BS21" s="7">
        <f t="shared" si="0"/>
        <v>13.405342501402258</v>
      </c>
      <c r="BT21" s="56">
        <v>11084981.123793155</v>
      </c>
      <c r="BU21" s="8">
        <v>11082593.0375</v>
      </c>
      <c r="BV21" s="57">
        <f t="shared" si="32"/>
        <v>100.02154808252071</v>
      </c>
      <c r="BW21">
        <v>509036.06090486</v>
      </c>
      <c r="BX21">
        <v>0</v>
      </c>
      <c r="BY21">
        <v>129723.00900831999</v>
      </c>
      <c r="BZ21">
        <v>10572732.980309075</v>
      </c>
      <c r="CA21">
        <v>3212.08257922</v>
      </c>
      <c r="CB21">
        <v>0</v>
      </c>
      <c r="CC21">
        <v>0</v>
      </c>
      <c r="CD21">
        <v>0</v>
      </c>
      <c r="CE21" s="7">
        <v>4.592123840538157</v>
      </c>
      <c r="CF21" s="7">
        <v>0</v>
      </c>
      <c r="CG21" s="7">
        <v>1.1702591782486522</v>
      </c>
      <c r="CH21" s="7">
        <v>95.37889927133413</v>
      </c>
      <c r="CI21" s="7">
        <v>0.028976888127716195</v>
      </c>
      <c r="CJ21" s="7">
        <v>0</v>
      </c>
      <c r="CK21" s="7">
        <v>0</v>
      </c>
      <c r="CL21" s="7">
        <v>0</v>
      </c>
      <c r="CM21" s="7">
        <v>0.5000714570633955</v>
      </c>
      <c r="CN21" s="56">
        <f t="shared" si="2"/>
        <v>320255.58571638685</v>
      </c>
      <c r="CO21" s="56">
        <f t="shared" si="3"/>
        <v>6029463.424226488</v>
      </c>
      <c r="CP21" s="56">
        <f t="shared" si="4"/>
        <v>461600.9640876438</v>
      </c>
      <c r="CQ21" s="6">
        <f t="shared" si="5"/>
        <v>4.341408455448219</v>
      </c>
      <c r="CR21" s="6">
        <f t="shared" si="6"/>
        <v>5.986278055241526</v>
      </c>
      <c r="CS21" s="6">
        <f t="shared" si="7"/>
        <v>5.163882537299631</v>
      </c>
      <c r="CT21" s="58">
        <f t="shared" si="8"/>
        <v>1222410.14027678</v>
      </c>
      <c r="CU21" s="58">
        <f t="shared" si="9"/>
        <v>1685555.9831188712</v>
      </c>
      <c r="CV21" s="58">
        <f t="shared" si="10"/>
        <v>1453994.1223156687</v>
      </c>
      <c r="CW21">
        <f t="shared" si="11"/>
        <v>4728068826.049545</v>
      </c>
      <c r="CX21">
        <f t="shared" si="12"/>
        <v>7342623945.157265</v>
      </c>
      <c r="CY21">
        <f t="shared" si="13"/>
        <v>6035346385.60355</v>
      </c>
      <c r="CZ21" s="59">
        <v>251.292</v>
      </c>
      <c r="DA21" s="59">
        <v>26.3295</v>
      </c>
      <c r="DB21" s="6">
        <v>1.7</v>
      </c>
      <c r="DC21" s="6">
        <v>5.19</v>
      </c>
      <c r="DD21" s="6">
        <v>6.67</v>
      </c>
      <c r="DE21" s="6">
        <v>6.26</v>
      </c>
      <c r="DF21" s="6">
        <v>0</v>
      </c>
      <c r="DG21" s="6">
        <v>65.11</v>
      </c>
      <c r="DH21" s="6">
        <v>7.35</v>
      </c>
      <c r="DI21" s="6">
        <v>0</v>
      </c>
      <c r="DJ21" s="6">
        <v>0.3</v>
      </c>
      <c r="DK21" s="6">
        <v>6.95</v>
      </c>
      <c r="DL21" s="6">
        <v>0</v>
      </c>
      <c r="DM21" s="6">
        <v>0.4</v>
      </c>
      <c r="DN21" s="6">
        <v>0.07</v>
      </c>
      <c r="DO21" s="6">
        <v>0</v>
      </c>
      <c r="DP21" s="6">
        <v>42.2705</v>
      </c>
      <c r="DQ21" t="s">
        <v>441</v>
      </c>
      <c r="DR21" t="s">
        <v>441</v>
      </c>
      <c r="DS21" s="59">
        <v>1</v>
      </c>
      <c r="DT21">
        <v>1</v>
      </c>
      <c r="DU21">
        <f t="shared" si="14"/>
        <v>1</v>
      </c>
      <c r="DV21">
        <f t="shared" si="15"/>
        <v>0</v>
      </c>
      <c r="DW21">
        <f t="shared" si="16"/>
        <v>0</v>
      </c>
      <c r="DX21">
        <f t="shared" si="17"/>
        <v>1.3992764800000002</v>
      </c>
      <c r="DY21" s="59">
        <f t="shared" si="18"/>
        <v>15507.61177478551</v>
      </c>
      <c r="DZ21">
        <f t="shared" si="20"/>
        <v>15507.61177478551</v>
      </c>
      <c r="EA21">
        <f t="shared" si="21"/>
        <v>320255.58571638685</v>
      </c>
      <c r="EB21">
        <f t="shared" si="22"/>
        <v>6029463.424226488</v>
      </c>
      <c r="EC21">
        <f t="shared" si="23"/>
        <v>461600.9640876438</v>
      </c>
      <c r="ED21" s="7">
        <f t="shared" si="19"/>
        <v>3.814134459053938</v>
      </c>
      <c r="EE21">
        <f t="shared" si="24"/>
        <v>0</v>
      </c>
      <c r="EF21">
        <f t="shared" si="25"/>
        <v>0</v>
      </c>
      <c r="EG21">
        <f t="shared" si="26"/>
        <v>0</v>
      </c>
      <c r="EH21">
        <f t="shared" si="27"/>
        <v>0</v>
      </c>
      <c r="EI21">
        <f t="shared" si="28"/>
        <v>15507.61177478551</v>
      </c>
      <c r="EJ21">
        <f t="shared" si="29"/>
        <v>320255.58571638685</v>
      </c>
      <c r="EK21">
        <f t="shared" si="30"/>
        <v>6029463.424226488</v>
      </c>
      <c r="EL21">
        <f t="shared" si="31"/>
        <v>461600.9640876438</v>
      </c>
    </row>
    <row r="22" spans="1:142" ht="12.75">
      <c r="A22" s="55" t="s">
        <v>466</v>
      </c>
      <c r="B22" t="s">
        <v>289</v>
      </c>
      <c r="C22" s="7">
        <v>25.371017008606348</v>
      </c>
      <c r="D22" s="7">
        <v>18.928275508318006</v>
      </c>
      <c r="E22" s="7">
        <v>4.905829701025031</v>
      </c>
      <c r="F22" s="7">
        <v>5.719025235774816</v>
      </c>
      <c r="G22" s="7">
        <v>5.312427468399922</v>
      </c>
      <c r="H22" s="7">
        <v>5.227627646554457</v>
      </c>
      <c r="I22" s="7">
        <v>13.32601356974812</v>
      </c>
      <c r="J22" s="7">
        <v>9.276820608151297</v>
      </c>
      <c r="K22" s="7">
        <v>0.7807987555201846</v>
      </c>
      <c r="L22" s="7">
        <v>1.0380953358096492</v>
      </c>
      <c r="M22" s="7">
        <v>0.9094470456649171</v>
      </c>
      <c r="N22" s="7">
        <v>2.1094985206663326</v>
      </c>
      <c r="O22" s="7">
        <v>6.527977734446854</v>
      </c>
      <c r="P22" s="7">
        <v>4.318738127556592</v>
      </c>
      <c r="Q22" s="7">
        <v>0.05772326510690679</v>
      </c>
      <c r="R22" s="7">
        <v>0.09562261861820198</v>
      </c>
      <c r="S22" s="7">
        <v>0.07667283682425284</v>
      </c>
      <c r="T22" s="7">
        <v>3.1519396324659446</v>
      </c>
      <c r="U22" s="7">
        <v>6.337550146520198</v>
      </c>
      <c r="V22" s="7">
        <v>4.744744889493071</v>
      </c>
      <c r="W22" s="7">
        <v>11.340500699240485</v>
      </c>
      <c r="X22" s="7">
        <v>22.629995652773328</v>
      </c>
      <c r="Y22" s="7">
        <v>16.9852488270855</v>
      </c>
      <c r="Z22" s="7">
        <v>5.034926794094491</v>
      </c>
      <c r="AA22" s="7">
        <v>5.8818252913520865</v>
      </c>
      <c r="AB22" s="7">
        <v>5.458376963963932</v>
      </c>
      <c r="AC22" s="7">
        <v>6.787399897401312</v>
      </c>
      <c r="AD22" s="7">
        <v>14.87378917918454</v>
      </c>
      <c r="AE22" s="7">
        <v>10.830594733790004</v>
      </c>
      <c r="AF22" s="7">
        <v>0.926972187585663</v>
      </c>
      <c r="AG22" s="7">
        <v>1.2208213228962324</v>
      </c>
      <c r="AH22" s="7">
        <v>1.0738978091694718</v>
      </c>
      <c r="AI22" s="7">
        <v>1.9374664824018943</v>
      </c>
      <c r="AJ22" s="7">
        <v>6.228847143315627</v>
      </c>
      <c r="AK22" s="7">
        <v>4.083157635170374</v>
      </c>
      <c r="AL22" s="7">
        <v>0.04613606970887683</v>
      </c>
      <c r="AM22" s="7">
        <v>0.0819428703181057</v>
      </c>
      <c r="AN22" s="7">
        <v>0.06404139183400517</v>
      </c>
      <c r="AO22" s="7">
        <v>1.6757182451951829</v>
      </c>
      <c r="AP22" s="7">
        <v>4.722842292737009</v>
      </c>
      <c r="AQ22" s="7">
        <v>3.1992788388129654</v>
      </c>
      <c r="AR22" s="7">
        <v>9.006268819144166</v>
      </c>
      <c r="AS22" s="7">
        <v>15.55011500127327</v>
      </c>
      <c r="AT22" s="7">
        <v>12.278191805170424</v>
      </c>
      <c r="AU22" s="7">
        <v>5.177924638518999</v>
      </c>
      <c r="AV22" s="7">
        <v>6.027299182373935</v>
      </c>
      <c r="AW22" s="7">
        <v>5.602611910446464</v>
      </c>
      <c r="AX22" s="7">
        <v>5.035963542052374</v>
      </c>
      <c r="AY22" s="7">
        <v>10.96211051650849</v>
      </c>
      <c r="AZ22" s="7">
        <v>7.999037328690841</v>
      </c>
      <c r="BA22" s="7">
        <v>1.1759370578475654</v>
      </c>
      <c r="BB22" s="7">
        <v>1.5074599390887884</v>
      </c>
      <c r="BC22" s="7">
        <v>1.3416984984681775</v>
      </c>
      <c r="BD22" s="7">
        <v>1.7527001373119853</v>
      </c>
      <c r="BE22" s="7">
        <v>5.962260413002999</v>
      </c>
      <c r="BF22" s="7">
        <v>3.85748027515749</v>
      </c>
      <c r="BG22" s="7">
        <v>0.0352195896209706</v>
      </c>
      <c r="BH22" s="7">
        <v>0.06145358158620533</v>
      </c>
      <c r="BI22" s="7">
        <v>0.04833669064188947</v>
      </c>
      <c r="BJ22" s="7">
        <v>0.8381836341732857</v>
      </c>
      <c r="BK22" s="7">
        <v>2.543842553703535</v>
      </c>
      <c r="BL22" s="7">
        <v>1.6910127945280027</v>
      </c>
      <c r="BM22" s="56">
        <v>25791.67946222828</v>
      </c>
      <c r="BN22" s="56">
        <v>46414.43672441388</v>
      </c>
      <c r="BO22" s="56">
        <v>36103.05809378937</v>
      </c>
      <c r="BP22" s="56">
        <v>208048.94177617264</v>
      </c>
      <c r="BQ22" s="56">
        <v>371388.5971311077</v>
      </c>
      <c r="BR22" s="56">
        <v>289718.76945415564</v>
      </c>
      <c r="BS22" s="7">
        <f t="shared" si="0"/>
        <v>9.387216946622598</v>
      </c>
      <c r="BT22" s="56">
        <v>128865130.73600402</v>
      </c>
      <c r="BU22" s="8">
        <v>253521000</v>
      </c>
      <c r="BV22" s="57">
        <f t="shared" si="32"/>
        <v>50.83016031650397</v>
      </c>
      <c r="BW22">
        <v>58517334.28119556</v>
      </c>
      <c r="BX22">
        <v>43480.0707213</v>
      </c>
      <c r="BY22">
        <v>16064505.26418911</v>
      </c>
      <c r="BZ22">
        <v>32418242.80912394</v>
      </c>
      <c r="CA22">
        <v>480812.52243785</v>
      </c>
      <c r="CB22">
        <v>16399319.39255839</v>
      </c>
      <c r="CC22">
        <v>18551675.99669513</v>
      </c>
      <c r="CD22">
        <v>2458958.2629199997</v>
      </c>
      <c r="CE22" s="7">
        <v>45.40975044760206</v>
      </c>
      <c r="CF22" s="7">
        <v>0.033740757079100195</v>
      </c>
      <c r="CG22" s="7">
        <v>12.466138180621734</v>
      </c>
      <c r="CH22" s="7">
        <v>25.15672208918693</v>
      </c>
      <c r="CI22" s="7">
        <v>0.3731129745430153</v>
      </c>
      <c r="CJ22" s="7">
        <v>12.725955655261314</v>
      </c>
      <c r="CK22" s="7">
        <v>14.396195379416103</v>
      </c>
      <c r="CL22" s="7">
        <v>1.9081641782193792</v>
      </c>
      <c r="CM22" s="7">
        <v>0.8288701503898729</v>
      </c>
      <c r="CN22" s="56">
        <f t="shared" si="2"/>
        <v>6538732.368943575</v>
      </c>
      <c r="CO22" s="56">
        <f t="shared" si="3"/>
        <v>117670344.1281013</v>
      </c>
      <c r="CP22" s="56">
        <f t="shared" si="4"/>
        <v>9152883.390995575</v>
      </c>
      <c r="CQ22" s="6">
        <f t="shared" si="5"/>
        <v>2.64521500519922</v>
      </c>
      <c r="CR22" s="6">
        <f t="shared" si="6"/>
        <v>4.588986269121888</v>
      </c>
      <c r="CS22" s="6">
        <f t="shared" si="7"/>
        <v>3.6171480213125053</v>
      </c>
      <c r="CT22" s="58">
        <f t="shared" si="8"/>
        <v>17038047.59484531</v>
      </c>
      <c r="CU22" s="58">
        <f t="shared" si="9"/>
        <v>29558038.311332572</v>
      </c>
      <c r="CV22" s="58">
        <f t="shared" si="10"/>
        <v>23298348.158312187</v>
      </c>
      <c r="CW22">
        <f t="shared" si="11"/>
        <v>52744775768.03706</v>
      </c>
      <c r="CX22">
        <f t="shared" si="12"/>
        <v>94154808533.27556</v>
      </c>
      <c r="CY22">
        <f t="shared" si="13"/>
        <v>73449792150.787</v>
      </c>
      <c r="CZ22" s="59">
        <v>808.212</v>
      </c>
      <c r="DA22" s="59">
        <v>52.8903</v>
      </c>
      <c r="DB22" s="6">
        <v>1.9961659980829989</v>
      </c>
      <c r="DC22" s="6">
        <v>5.254712627356314</v>
      </c>
      <c r="DD22" s="6">
        <v>2.368206184103092</v>
      </c>
      <c r="DE22" s="6">
        <v>3.7519968759984383</v>
      </c>
      <c r="DF22" s="6">
        <v>6.494728247364123</v>
      </c>
      <c r="DG22" s="6">
        <v>58.27840691698124</v>
      </c>
      <c r="DH22" s="6">
        <v>3.6000568000284</v>
      </c>
      <c r="DI22" s="6">
        <v>3.7970818985409496</v>
      </c>
      <c r="DJ22" s="6">
        <v>0.4355852177926089</v>
      </c>
      <c r="DK22" s="6">
        <v>2.904256452128226</v>
      </c>
      <c r="DL22" s="6">
        <v>10.00142000071</v>
      </c>
      <c r="DM22" s="6">
        <v>0.8303454151727075</v>
      </c>
      <c r="DN22" s="6">
        <v>0.09691504845752423</v>
      </c>
      <c r="DO22" s="6">
        <v>0.18779509389754695</v>
      </c>
      <c r="DP22" s="6">
        <v>958</v>
      </c>
      <c r="DQ22" t="s">
        <v>441</v>
      </c>
      <c r="DR22" t="s">
        <v>467</v>
      </c>
      <c r="DS22" s="59">
        <v>1</v>
      </c>
      <c r="DT22">
        <v>0</v>
      </c>
      <c r="DU22">
        <f t="shared" si="14"/>
        <v>0</v>
      </c>
      <c r="DV22">
        <f t="shared" si="15"/>
        <v>0</v>
      </c>
      <c r="DW22">
        <f t="shared" si="16"/>
        <v>1</v>
      </c>
      <c r="DX22">
        <f t="shared" si="17"/>
        <v>1.0874012800000001</v>
      </c>
      <c r="DY22" s="59">
        <f t="shared" si="18"/>
        <v>275679.05990688</v>
      </c>
      <c r="DZ22">
        <f t="shared" si="20"/>
        <v>275679.05990688</v>
      </c>
      <c r="EA22">
        <f t="shared" si="21"/>
        <v>6538732.368943575</v>
      </c>
      <c r="EB22">
        <f t="shared" si="22"/>
        <v>117670344.1281013</v>
      </c>
      <c r="EC22">
        <f t="shared" si="23"/>
        <v>9152883.390995575</v>
      </c>
      <c r="ED22" s="7">
        <f t="shared" si="19"/>
        <v>3.7787796671676115</v>
      </c>
      <c r="EE22">
        <f t="shared" si="24"/>
        <v>0</v>
      </c>
      <c r="EF22">
        <f t="shared" si="25"/>
        <v>0</v>
      </c>
      <c r="EG22">
        <f t="shared" si="26"/>
        <v>0</v>
      </c>
      <c r="EH22">
        <f t="shared" si="27"/>
        <v>0</v>
      </c>
      <c r="EI22">
        <f t="shared" si="28"/>
        <v>0</v>
      </c>
      <c r="EJ22">
        <f t="shared" si="29"/>
        <v>0</v>
      </c>
      <c r="EK22">
        <f t="shared" si="30"/>
        <v>0</v>
      </c>
      <c r="EL22">
        <f t="shared" si="31"/>
        <v>0</v>
      </c>
    </row>
    <row r="23" spans="1:142" ht="12.75">
      <c r="A23" s="55" t="s">
        <v>468</v>
      </c>
      <c r="B23" t="s">
        <v>469</v>
      </c>
      <c r="C23" s="7">
        <v>36.34885218982985</v>
      </c>
      <c r="D23" s="7">
        <v>27.627046172470507</v>
      </c>
      <c r="E23" s="7">
        <v>4.963539226338549</v>
      </c>
      <c r="F23" s="7">
        <v>5.878137409135503</v>
      </c>
      <c r="G23" s="7">
        <v>5.420838317737028</v>
      </c>
      <c r="H23" s="7">
        <v>4.902142513751144</v>
      </c>
      <c r="I23" s="7">
        <v>11.488648140403926</v>
      </c>
      <c r="J23" s="7">
        <v>8.19539524767728</v>
      </c>
      <c r="K23" s="7">
        <v>0.850582998375302</v>
      </c>
      <c r="L23" s="7">
        <v>1.113786766116446</v>
      </c>
      <c r="M23" s="7">
        <v>0.9821848822458734</v>
      </c>
      <c r="N23" s="7">
        <v>2.4713255603066138</v>
      </c>
      <c r="O23" s="7">
        <v>7.690912799580694</v>
      </c>
      <c r="P23" s="7">
        <v>5.081119179943655</v>
      </c>
      <c r="Q23" s="7">
        <v>0.0828254966471294</v>
      </c>
      <c r="R23" s="7">
        <v>0.11808178291606274</v>
      </c>
      <c r="S23" s="7">
        <v>0.10045363978159606</v>
      </c>
      <c r="T23" s="7">
        <v>4.447269681134307</v>
      </c>
      <c r="U23" s="7">
        <v>8.389395763420982</v>
      </c>
      <c r="V23" s="7">
        <v>6.418332801677902</v>
      </c>
      <c r="W23" s="7">
        <v>17.225826675057938</v>
      </c>
      <c r="X23" s="7">
        <v>30.656547593974615</v>
      </c>
      <c r="Y23" s="7">
        <v>23.941187441950888</v>
      </c>
      <c r="Z23" s="7">
        <v>5.090076613457695</v>
      </c>
      <c r="AA23" s="7">
        <v>5.991469989917812</v>
      </c>
      <c r="AB23" s="7">
        <v>5.540773114495775</v>
      </c>
      <c r="AC23" s="7">
        <v>8.907623301931759</v>
      </c>
      <c r="AD23" s="7">
        <v>15.790682275503423</v>
      </c>
      <c r="AE23" s="7">
        <v>12.349152806300664</v>
      </c>
      <c r="AF23" s="7">
        <v>1.065381029769645</v>
      </c>
      <c r="AG23" s="7">
        <v>1.329683961897708</v>
      </c>
      <c r="AH23" s="7">
        <v>1.1975330632214496</v>
      </c>
      <c r="AI23" s="7">
        <v>2.495208876187074</v>
      </c>
      <c r="AJ23" s="7">
        <v>8.763769898487414</v>
      </c>
      <c r="AK23" s="7">
        <v>5.629490226581145</v>
      </c>
      <c r="AL23" s="7">
        <v>0.06656871978082396</v>
      </c>
      <c r="AM23" s="7">
        <v>0.09780570510956067</v>
      </c>
      <c r="AN23" s="7">
        <v>0.08218890172488715</v>
      </c>
      <c r="AO23" s="7">
        <v>2.8943154479551882</v>
      </c>
      <c r="AP23" s="7">
        <v>5.926604470918499</v>
      </c>
      <c r="AQ23" s="7">
        <v>4.41046083426421</v>
      </c>
      <c r="AR23" s="7">
        <v>13.36165139627398</v>
      </c>
      <c r="AS23" s="7">
        <v>20.502337644725287</v>
      </c>
      <c r="AT23" s="7">
        <v>16.931994520499636</v>
      </c>
      <c r="AU23" s="7">
        <v>5.231516077075289</v>
      </c>
      <c r="AV23" s="7">
        <v>6.102598559332699</v>
      </c>
      <c r="AW23" s="7">
        <v>5.667057318203997</v>
      </c>
      <c r="AX23" s="7">
        <v>8.42620869838357</v>
      </c>
      <c r="AY23" s="7">
        <v>14.973398539320044</v>
      </c>
      <c r="AZ23" s="7">
        <v>11.6998036188518</v>
      </c>
      <c r="BA23" s="7">
        <v>1.2567540732575975</v>
      </c>
      <c r="BB23" s="7">
        <v>1.5371989642997295</v>
      </c>
      <c r="BC23" s="7">
        <v>1.3969765187786638</v>
      </c>
      <c r="BD23" s="7">
        <v>3.0275691878389854</v>
      </c>
      <c r="BE23" s="7">
        <v>11.735667935650836</v>
      </c>
      <c r="BF23" s="7">
        <v>7.381618561744913</v>
      </c>
      <c r="BG23" s="7">
        <v>0.05745655899362882</v>
      </c>
      <c r="BH23" s="7">
        <v>0.08449658478636521</v>
      </c>
      <c r="BI23" s="7">
        <v>0.07097657188999697</v>
      </c>
      <c r="BJ23" s="7">
        <v>1.7104944041546875</v>
      </c>
      <c r="BK23" s="7">
        <v>3.684853193406383</v>
      </c>
      <c r="BL23" s="7">
        <v>2.697673798780536</v>
      </c>
      <c r="BM23" s="56">
        <v>41257.157116054994</v>
      </c>
      <c r="BN23" s="56">
        <v>63221.368414541575</v>
      </c>
      <c r="BO23" s="56">
        <v>52239.26276665805</v>
      </c>
      <c r="BP23" s="56">
        <v>300469.797143687</v>
      </c>
      <c r="BQ23" s="56">
        <v>503693.33064373134</v>
      </c>
      <c r="BR23" s="56">
        <v>402081.56389422144</v>
      </c>
      <c r="BS23" s="7">
        <f t="shared" si="0"/>
        <v>11.25866161959644</v>
      </c>
      <c r="BT23" s="56">
        <v>46121239.694649406</v>
      </c>
      <c r="BU23" s="8">
        <v>46119018.1469</v>
      </c>
      <c r="BV23" s="57">
        <f t="shared" si="32"/>
        <v>100.00481698838932</v>
      </c>
      <c r="BW23">
        <v>10356235.67329579</v>
      </c>
      <c r="BX23">
        <v>120603.0529295</v>
      </c>
      <c r="BY23">
        <v>3925813.3166116797</v>
      </c>
      <c r="BZ23">
        <v>33624945.1548938</v>
      </c>
      <c r="CA23">
        <v>1587805.35147998</v>
      </c>
      <c r="CB23">
        <v>581229.47776833</v>
      </c>
      <c r="CC23">
        <v>0</v>
      </c>
      <c r="CD23">
        <v>0</v>
      </c>
      <c r="CE23" s="7">
        <v>22.454374040811466</v>
      </c>
      <c r="CF23" s="7">
        <v>0.2614913513339307</v>
      </c>
      <c r="CG23" s="7">
        <v>8.51194231248541</v>
      </c>
      <c r="CH23" s="7">
        <v>72.90555366141791</v>
      </c>
      <c r="CI23" s="7">
        <v>3.4426770875896113</v>
      </c>
      <c r="CJ23" s="7">
        <v>1.2602208475236611</v>
      </c>
      <c r="CK23" s="7">
        <v>0</v>
      </c>
      <c r="CL23" s="7">
        <v>0</v>
      </c>
      <c r="CM23" s="7">
        <v>4.262479012984852</v>
      </c>
      <c r="CN23" s="56">
        <f t="shared" si="2"/>
        <v>1902739.5777248447</v>
      </c>
      <c r="CO23" s="56">
        <f t="shared" si="3"/>
        <v>29157074.371820934</v>
      </c>
      <c r="CP23" s="56">
        <f t="shared" si="4"/>
        <v>2409223.50751618</v>
      </c>
      <c r="CQ23" s="6">
        <f t="shared" si="5"/>
        <v>3.9705126503524193</v>
      </c>
      <c r="CR23" s="6">
        <f t="shared" si="6"/>
        <v>5.792236352494974</v>
      </c>
      <c r="CS23" s="6">
        <f t="shared" si="7"/>
        <v>4.8814150441363715</v>
      </c>
      <c r="CT23" s="58">
        <f t="shared" si="8"/>
        <v>4652341.0816590255</v>
      </c>
      <c r="CU23" s="58">
        <f t="shared" si="9"/>
        <v>6786896.683227885</v>
      </c>
      <c r="CV23" s="58">
        <f t="shared" si="10"/>
        <v>5719666.3872732725</v>
      </c>
      <c r="CW23">
        <f t="shared" si="11"/>
        <v>13857372027.065062</v>
      </c>
      <c r="CX23">
        <f t="shared" si="12"/>
        <v>23229841856.430748</v>
      </c>
      <c r="CY23">
        <f t="shared" si="13"/>
        <v>18543606941.77153</v>
      </c>
      <c r="CZ23" s="59">
        <v>362.607</v>
      </c>
      <c r="DA23" s="59">
        <v>24.9856</v>
      </c>
      <c r="DB23" s="6">
        <v>1.2</v>
      </c>
      <c r="DC23" s="6">
        <v>4.66</v>
      </c>
      <c r="DD23" s="6">
        <v>6.47</v>
      </c>
      <c r="DE23" s="6">
        <v>13.86</v>
      </c>
      <c r="DF23" s="6">
        <v>0.49</v>
      </c>
      <c r="DG23" s="6">
        <v>58.7</v>
      </c>
      <c r="DH23" s="6">
        <v>10.91</v>
      </c>
      <c r="DI23" s="6">
        <v>0</v>
      </c>
      <c r="DJ23" s="6">
        <v>0.65</v>
      </c>
      <c r="DK23" s="6">
        <v>2.63</v>
      </c>
      <c r="DL23" s="6">
        <v>0</v>
      </c>
      <c r="DM23" s="6">
        <v>0.37</v>
      </c>
      <c r="DN23" s="6">
        <v>0.03</v>
      </c>
      <c r="DO23" s="6">
        <v>0.03</v>
      </c>
      <c r="DP23" s="6">
        <v>51.3328</v>
      </c>
      <c r="DQ23" t="s">
        <v>441</v>
      </c>
      <c r="DR23" t="s">
        <v>441</v>
      </c>
      <c r="DS23" s="59">
        <v>1</v>
      </c>
      <c r="DT23">
        <v>1</v>
      </c>
      <c r="DU23">
        <f t="shared" si="14"/>
        <v>1</v>
      </c>
      <c r="DV23">
        <f t="shared" si="15"/>
        <v>0</v>
      </c>
      <c r="DW23">
        <f t="shared" si="16"/>
        <v>0</v>
      </c>
      <c r="DX23">
        <f t="shared" si="17"/>
        <v>1.33694008</v>
      </c>
      <c r="DY23" s="59">
        <f t="shared" si="18"/>
        <v>61658.36381083793</v>
      </c>
      <c r="DZ23">
        <f t="shared" si="20"/>
        <v>61658.36381083793</v>
      </c>
      <c r="EA23">
        <f t="shared" si="21"/>
        <v>1902739.5777248447</v>
      </c>
      <c r="EB23">
        <f t="shared" si="22"/>
        <v>29157074.371820934</v>
      </c>
      <c r="EC23">
        <f t="shared" si="23"/>
        <v>2409223.50751618</v>
      </c>
      <c r="ED23" s="7">
        <f t="shared" si="19"/>
        <v>1.113050582223864</v>
      </c>
      <c r="EE23">
        <f t="shared" si="24"/>
        <v>0</v>
      </c>
      <c r="EF23">
        <f t="shared" si="25"/>
        <v>0</v>
      </c>
      <c r="EG23">
        <f t="shared" si="26"/>
        <v>0</v>
      </c>
      <c r="EH23">
        <f t="shared" si="27"/>
        <v>0</v>
      </c>
      <c r="EI23">
        <f t="shared" si="28"/>
        <v>61658.36381083793</v>
      </c>
      <c r="EJ23">
        <f t="shared" si="29"/>
        <v>1902739.5777248447</v>
      </c>
      <c r="EK23">
        <f t="shared" si="30"/>
        <v>29157074.371820934</v>
      </c>
      <c r="EL23">
        <f t="shared" si="31"/>
        <v>2409223.50751618</v>
      </c>
    </row>
    <row r="24" spans="1:142" ht="12.75">
      <c r="A24" s="55" t="s">
        <v>470</v>
      </c>
      <c r="B24" t="s">
        <v>471</v>
      </c>
      <c r="C24" s="7">
        <v>22.64063700370276</v>
      </c>
      <c r="D24" s="7">
        <v>13.97416021743715</v>
      </c>
      <c r="E24" s="7">
        <v>5.1</v>
      </c>
      <c r="F24" s="7">
        <v>5.997948777125524</v>
      </c>
      <c r="G24" s="7">
        <v>5.548974388562761</v>
      </c>
      <c r="H24" s="7">
        <v>4.104147114595483</v>
      </c>
      <c r="I24" s="7">
        <v>10.102561143723845</v>
      </c>
      <c r="J24" s="7">
        <v>7.103354129159665</v>
      </c>
      <c r="K24" s="7">
        <v>0.8652504679712704</v>
      </c>
      <c r="L24" s="7">
        <v>1.1150453456838225</v>
      </c>
      <c r="M24" s="7">
        <v>0.9901479068275465</v>
      </c>
      <c r="N24" s="7">
        <v>2.73309209131943</v>
      </c>
      <c r="O24" s="7">
        <v>8.565822319618002</v>
      </c>
      <c r="P24" s="7">
        <v>5.649457205468717</v>
      </c>
      <c r="Q24" s="7">
        <v>0.055281274007405526</v>
      </c>
      <c r="R24" s="7">
        <v>0.0916568380082979</v>
      </c>
      <c r="S24" s="7">
        <v>0.07346905600785171</v>
      </c>
      <c r="T24" s="7">
        <v>1.159995384209201</v>
      </c>
      <c r="U24" s="7">
        <v>3.1736397573291297</v>
      </c>
      <c r="V24" s="7">
        <v>2.1668175707691653</v>
      </c>
      <c r="W24" s="7">
        <v>11.9975029026206</v>
      </c>
      <c r="X24" s="7">
        <v>26.703759660808704</v>
      </c>
      <c r="Y24" s="7">
        <v>19.350635344837308</v>
      </c>
      <c r="Z24" s="7">
        <v>5.2927129502863</v>
      </c>
      <c r="AA24" s="7">
        <v>5.997948777125524</v>
      </c>
      <c r="AB24" s="7">
        <v>5.645326800583254</v>
      </c>
      <c r="AC24" s="7">
        <v>4.063122657105944</v>
      </c>
      <c r="AD24" s="7">
        <v>9.500792985435817</v>
      </c>
      <c r="AE24" s="7">
        <v>6.781957821270882</v>
      </c>
      <c r="AF24" s="7">
        <v>1.1533795629555093</v>
      </c>
      <c r="AG24" s="7">
        <v>1.4116089765057624</v>
      </c>
      <c r="AH24" s="7">
        <v>1.2824992492184073</v>
      </c>
      <c r="AI24" s="7">
        <v>3.787870534710683</v>
      </c>
      <c r="AJ24" s="7">
        <v>16.098323681852566</v>
      </c>
      <c r="AK24" s="7">
        <v>9.943093045158967</v>
      </c>
      <c r="AL24" s="7">
        <v>0.05413581761471891</v>
      </c>
      <c r="AM24" s="7">
        <v>0.0916568380082979</v>
      </c>
      <c r="AN24" s="7">
        <v>0.07289724417662256</v>
      </c>
      <c r="AO24" s="7">
        <v>0.9262579764333624</v>
      </c>
      <c r="AP24" s="7">
        <v>2.394268349229289</v>
      </c>
      <c r="AQ24" s="7">
        <v>1.6602631628313256</v>
      </c>
      <c r="AR24" s="7">
        <v>25.541247801722186</v>
      </c>
      <c r="AS24" s="7">
        <v>34.830004975020586</v>
      </c>
      <c r="AT24" s="7">
        <v>30.185626388371386</v>
      </c>
      <c r="AU24" s="7">
        <v>5.597948777125523</v>
      </c>
      <c r="AV24" s="7">
        <v>5.997948777125524</v>
      </c>
      <c r="AW24" s="7">
        <v>5.797948777125524</v>
      </c>
      <c r="AX24" s="7">
        <v>4.063122657105944</v>
      </c>
      <c r="AY24" s="7">
        <v>9.22588345119103</v>
      </c>
      <c r="AZ24" s="7">
        <v>6.644503054148488</v>
      </c>
      <c r="BA24" s="7">
        <v>1.6482331979565525</v>
      </c>
      <c r="BB24" s="7">
        <v>1.9301110179610146</v>
      </c>
      <c r="BC24" s="7">
        <v>1.7891721079587837</v>
      </c>
      <c r="BD24" s="7">
        <v>3.6670935702783582</v>
      </c>
      <c r="BE24" s="7">
        <v>18.378521222320373</v>
      </c>
      <c r="BF24" s="7">
        <v>11.022807396299365</v>
      </c>
      <c r="BG24" s="7">
        <v>0.05344854377910695</v>
      </c>
      <c r="BH24" s="7">
        <v>0.0916568380082979</v>
      </c>
      <c r="BI24" s="7">
        <v>0.07255269089370242</v>
      </c>
      <c r="BJ24" s="7">
        <v>0.6210221495941394</v>
      </c>
      <c r="BK24" s="7">
        <v>1.2420442991882787</v>
      </c>
      <c r="BL24" s="7">
        <v>0.931533224391209</v>
      </c>
      <c r="BM24" s="56">
        <v>17237.869859469236</v>
      </c>
      <c r="BN24" s="56">
        <v>33320.971026823776</v>
      </c>
      <c r="BO24" s="56">
        <v>25279.420448125995</v>
      </c>
      <c r="BP24" s="56">
        <v>391472.0384422107</v>
      </c>
      <c r="BQ24" s="56">
        <v>656695.190207318</v>
      </c>
      <c r="BR24" s="56">
        <v>524083.6143207013</v>
      </c>
      <c r="BS24" s="7">
        <f t="shared" si="0"/>
        <v>6.79125517599968</v>
      </c>
      <c r="BT24" s="56">
        <v>3906829.49569462</v>
      </c>
      <c r="BU24" s="8">
        <v>3908674.92371</v>
      </c>
      <c r="BV24" s="57">
        <f t="shared" si="32"/>
        <v>99.95278635211679</v>
      </c>
      <c r="BW24">
        <v>0</v>
      </c>
      <c r="BX24">
        <v>0</v>
      </c>
      <c r="BY24">
        <v>3174785.4882813203</v>
      </c>
      <c r="BZ24">
        <v>716016.4513568</v>
      </c>
      <c r="CA24">
        <v>16027.5560565</v>
      </c>
      <c r="CB24">
        <v>0</v>
      </c>
      <c r="CC24">
        <v>0</v>
      </c>
      <c r="CD24">
        <v>0</v>
      </c>
      <c r="CE24" s="7">
        <v>0</v>
      </c>
      <c r="CF24" s="7">
        <v>0</v>
      </c>
      <c r="CG24" s="7">
        <v>81.26245314211889</v>
      </c>
      <c r="CH24" s="7">
        <v>18.32730228298573</v>
      </c>
      <c r="CI24" s="7">
        <v>0.41024457489538735</v>
      </c>
      <c r="CJ24" s="7">
        <v>0</v>
      </c>
      <c r="CK24" s="7">
        <v>0</v>
      </c>
      <c r="CL24" s="7">
        <v>0</v>
      </c>
      <c r="CM24" s="7">
        <v>0.41024457489538735</v>
      </c>
      <c r="CN24" s="56">
        <f t="shared" si="2"/>
        <v>67377.22965788381</v>
      </c>
      <c r="CO24" s="56">
        <f t="shared" si="3"/>
        <v>1302408.4388621354</v>
      </c>
      <c r="CP24" s="56">
        <f t="shared" si="4"/>
        <v>98809.03679151188</v>
      </c>
      <c r="CQ24" s="6">
        <f t="shared" si="5"/>
        <v>3.245399961540687</v>
      </c>
      <c r="CR24" s="6">
        <f t="shared" si="6"/>
        <v>5.499410280497874</v>
      </c>
      <c r="CS24" s="6">
        <f t="shared" si="7"/>
        <v>4.37242711378202</v>
      </c>
      <c r="CT24" s="58">
        <f t="shared" si="8"/>
        <v>322286.9270092348</v>
      </c>
      <c r="CU24" s="58">
        <f t="shared" si="9"/>
        <v>546123.1468133896</v>
      </c>
      <c r="CV24" s="58">
        <f t="shared" si="10"/>
        <v>434207.220919448</v>
      </c>
      <c r="CW24">
        <f t="shared" si="11"/>
        <v>1530136939.992706</v>
      </c>
      <c r="CX24">
        <f t="shared" si="12"/>
        <v>2566808022.4843125</v>
      </c>
      <c r="CY24">
        <f t="shared" si="13"/>
        <v>2048472481.2226279</v>
      </c>
      <c r="CZ24" s="59">
        <v>106.034</v>
      </c>
      <c r="DA24" s="59">
        <v>14.4095</v>
      </c>
      <c r="DB24" s="6">
        <v>0.12</v>
      </c>
      <c r="DC24" s="6">
        <v>5.4</v>
      </c>
      <c r="DD24" s="6">
        <v>5</v>
      </c>
      <c r="DE24" s="6">
        <v>16.76</v>
      </c>
      <c r="DF24" s="6">
        <v>0</v>
      </c>
      <c r="DG24" s="6">
        <v>61.73</v>
      </c>
      <c r="DH24" s="6">
        <v>7.7</v>
      </c>
      <c r="DI24" s="6">
        <v>0</v>
      </c>
      <c r="DJ24" s="6">
        <v>0.07</v>
      </c>
      <c r="DK24" s="6">
        <v>2.63</v>
      </c>
      <c r="DL24" s="6">
        <v>0</v>
      </c>
      <c r="DM24" s="6">
        <v>0.55</v>
      </c>
      <c r="DN24" s="6">
        <v>0.05</v>
      </c>
      <c r="DO24" s="6">
        <v>0</v>
      </c>
      <c r="DP24" s="6">
        <v>34.0978</v>
      </c>
      <c r="DQ24" t="s">
        <v>261</v>
      </c>
      <c r="DR24" t="s">
        <v>423</v>
      </c>
      <c r="DS24" s="59">
        <v>1</v>
      </c>
      <c r="DT24">
        <v>1</v>
      </c>
      <c r="DU24">
        <f t="shared" si="14"/>
        <v>1</v>
      </c>
      <c r="DV24">
        <f t="shared" si="15"/>
        <v>0</v>
      </c>
      <c r="DW24">
        <f t="shared" si="16"/>
        <v>0</v>
      </c>
      <c r="DX24">
        <f t="shared" si="17"/>
        <v>1.48062096</v>
      </c>
      <c r="DY24" s="59">
        <f t="shared" si="18"/>
        <v>5787.266017871427</v>
      </c>
      <c r="DZ24">
        <f t="shared" si="20"/>
        <v>5787.266017871427</v>
      </c>
      <c r="EA24">
        <f t="shared" si="21"/>
        <v>67377.22965788381</v>
      </c>
      <c r="EB24">
        <f t="shared" si="22"/>
        <v>1302408.4388621354</v>
      </c>
      <c r="EC24">
        <f t="shared" si="23"/>
        <v>98809.03679151188</v>
      </c>
      <c r="ED24" s="7">
        <f t="shared" si="19"/>
        <v>8.723621346242671</v>
      </c>
      <c r="EE24">
        <f t="shared" si="24"/>
        <v>0</v>
      </c>
      <c r="EF24">
        <f t="shared" si="25"/>
        <v>0</v>
      </c>
      <c r="EG24">
        <f t="shared" si="26"/>
        <v>0</v>
      </c>
      <c r="EH24">
        <f t="shared" si="27"/>
        <v>0</v>
      </c>
      <c r="EI24">
        <f t="shared" si="28"/>
        <v>5787.266017871427</v>
      </c>
      <c r="EJ24">
        <f t="shared" si="29"/>
        <v>67377.22965788381</v>
      </c>
      <c r="EK24">
        <f t="shared" si="30"/>
        <v>1302408.4388621354</v>
      </c>
      <c r="EL24">
        <f t="shared" si="31"/>
        <v>98809.03679151188</v>
      </c>
    </row>
    <row r="25" spans="1:142" ht="12.75">
      <c r="A25" s="55" t="s">
        <v>472</v>
      </c>
      <c r="B25" s="60" t="s">
        <v>473</v>
      </c>
      <c r="C25" s="61">
        <v>23.723748160995388</v>
      </c>
      <c r="D25" s="7">
        <v>17.49165328721183</v>
      </c>
      <c r="E25" s="7">
        <v>5.535180977693175</v>
      </c>
      <c r="F25" s="7">
        <v>6.172537784348016</v>
      </c>
      <c r="G25" s="7">
        <v>5.853859740643332</v>
      </c>
      <c r="H25" s="7">
        <v>10.444410493297335</v>
      </c>
      <c r="I25" s="7">
        <v>21.75686536530157</v>
      </c>
      <c r="J25" s="7">
        <v>16.100637218217223</v>
      </c>
      <c r="K25" s="7">
        <v>0.9044823615153279</v>
      </c>
      <c r="L25" s="7">
        <v>1.122505639086514</v>
      </c>
      <c r="M25" s="7">
        <v>1.0134947113831452</v>
      </c>
      <c r="N25" s="7">
        <v>1.3488302789251827</v>
      </c>
      <c r="O25" s="7">
        <v>4.242371442350578</v>
      </c>
      <c r="P25" s="7">
        <v>2.7956008606378817</v>
      </c>
      <c r="Q25" s="7">
        <v>0.07238774493154178</v>
      </c>
      <c r="R25" s="7">
        <v>0.1353604817278639</v>
      </c>
      <c r="S25" s="7">
        <v>0.10387411332970281</v>
      </c>
      <c r="T25" s="7">
        <v>2.1357792876307222</v>
      </c>
      <c r="U25" s="7">
        <v>5.894636042603192</v>
      </c>
      <c r="V25" s="7">
        <v>4.015206594412</v>
      </c>
      <c r="W25" s="7">
        <v>11.106570153557234</v>
      </c>
      <c r="X25" s="7">
        <v>22.753027202729537</v>
      </c>
      <c r="Y25" s="7">
        <v>16.929799594633113</v>
      </c>
      <c r="Z25" s="7">
        <v>5.601830833772986</v>
      </c>
      <c r="AA25" s="7">
        <v>6.353791998413462</v>
      </c>
      <c r="AB25" s="7">
        <v>5.977812844827164</v>
      </c>
      <c r="AC25" s="7">
        <v>10.81754851296545</v>
      </c>
      <c r="AD25" s="7">
        <v>22.281209357618824</v>
      </c>
      <c r="AE25" s="7">
        <v>16.549379004098125</v>
      </c>
      <c r="AF25" s="7">
        <v>0.9864557326285754</v>
      </c>
      <c r="AG25" s="7">
        <v>1.2371744241547507</v>
      </c>
      <c r="AH25" s="7">
        <v>1.1118151641292313</v>
      </c>
      <c r="AI25" s="7">
        <v>1.6710915491491136</v>
      </c>
      <c r="AJ25" s="7">
        <v>5.933575820002324</v>
      </c>
      <c r="AK25" s="7">
        <v>3.8023330712616543</v>
      </c>
      <c r="AL25" s="7">
        <v>0.0699387216713595</v>
      </c>
      <c r="AM25" s="7">
        <v>0.13205141470885684</v>
      </c>
      <c r="AN25" s="7">
        <v>0.10099582868745868</v>
      </c>
      <c r="AO25" s="7">
        <v>1.6538740417015612</v>
      </c>
      <c r="AP25" s="7">
        <v>4.385123073188446</v>
      </c>
      <c r="AQ25" s="7">
        <v>3.019498349766826</v>
      </c>
      <c r="AR25" s="7">
        <v>6.954633619834249</v>
      </c>
      <c r="AS25" s="7">
        <v>16.374900108532596</v>
      </c>
      <c r="AT25" s="7">
        <v>11.664765308519366</v>
      </c>
      <c r="AU25" s="7">
        <v>5.758386089073978</v>
      </c>
      <c r="AV25" s="7">
        <v>6.581680807598178</v>
      </c>
      <c r="AW25" s="7">
        <v>6.170033448336083</v>
      </c>
      <c r="AX25" s="7">
        <v>9.574517550572203</v>
      </c>
      <c r="AY25" s="7">
        <v>20.056974227934145</v>
      </c>
      <c r="AZ25" s="7">
        <v>14.815746043206602</v>
      </c>
      <c r="BA25" s="7">
        <v>1.2385386211718512</v>
      </c>
      <c r="BB25" s="7">
        <v>1.5774678991882363</v>
      </c>
      <c r="BC25" s="7">
        <v>1.4080043570674785</v>
      </c>
      <c r="BD25" s="7">
        <v>1.774621824057232</v>
      </c>
      <c r="BE25" s="7">
        <v>7.18782599341456</v>
      </c>
      <c r="BF25" s="7">
        <v>4.481223861972656</v>
      </c>
      <c r="BG25" s="7">
        <v>0.05260844446962207</v>
      </c>
      <c r="BH25" s="7">
        <v>0.0989602146536803</v>
      </c>
      <c r="BI25" s="7">
        <v>0.07578495400874101</v>
      </c>
      <c r="BJ25" s="7">
        <v>1.1073012586173505</v>
      </c>
      <c r="BK25" s="7">
        <v>2.6380677175437026</v>
      </c>
      <c r="BL25" s="7">
        <v>1.8726843018203678</v>
      </c>
      <c r="BM25" s="56">
        <v>20415.979521283334</v>
      </c>
      <c r="BN25" s="56">
        <v>44219.32587266458</v>
      </c>
      <c r="BO25" s="56">
        <v>32317.652698715698</v>
      </c>
      <c r="BP25" s="56">
        <v>150413.9421315053</v>
      </c>
      <c r="BQ25" s="56">
        <v>329172.3885524633</v>
      </c>
      <c r="BR25" s="56">
        <v>239793.165343231</v>
      </c>
      <c r="BS25" s="7">
        <f t="shared" si="0"/>
        <v>15.766177462565334</v>
      </c>
      <c r="BT25" s="56">
        <v>91128384.62539181</v>
      </c>
      <c r="BU25" s="8">
        <v>91110013.4848</v>
      </c>
      <c r="BV25" s="57">
        <f t="shared" si="32"/>
        <v>100.02016368990536</v>
      </c>
      <c r="BW25">
        <v>36249987.90003262</v>
      </c>
      <c r="BX25">
        <v>10661105.108663611</v>
      </c>
      <c r="BY25">
        <v>22510704.369259335</v>
      </c>
      <c r="BZ25">
        <v>40418320.49868958</v>
      </c>
      <c r="CA25">
        <v>1337548.53622549</v>
      </c>
      <c r="CB25">
        <v>2505951.4993821</v>
      </c>
      <c r="CC25">
        <v>11557398.998733463</v>
      </c>
      <c r="CD25">
        <v>0</v>
      </c>
      <c r="CE25" s="7">
        <v>39.77903048435251</v>
      </c>
      <c r="CF25" s="7">
        <v>11.698994942672368</v>
      </c>
      <c r="CG25" s="7">
        <v>24.70218742688763</v>
      </c>
      <c r="CH25" s="7">
        <v>44.353162480428196</v>
      </c>
      <c r="CI25" s="7">
        <v>1.467762807081295</v>
      </c>
      <c r="CJ25" s="7">
        <v>2.749913223726614</v>
      </c>
      <c r="CK25" s="7">
        <v>12.682545670312622</v>
      </c>
      <c r="CL25" s="7">
        <v>0</v>
      </c>
      <c r="CM25" s="7">
        <v>6.841760379987889</v>
      </c>
      <c r="CN25" s="56">
        <f t="shared" si="2"/>
        <v>1860100.1694895253</v>
      </c>
      <c r="CO25" s="56">
        <f t="shared" si="3"/>
        <v>40288233.76547235</v>
      </c>
      <c r="CP25" s="56">
        <f t="shared" si="4"/>
        <v>2944461.7731770705</v>
      </c>
      <c r="CQ25" s="6">
        <f t="shared" si="5"/>
        <v>3.8097849265620587</v>
      </c>
      <c r="CR25" s="6">
        <f t="shared" si="6"/>
        <v>7.168604885435258</v>
      </c>
      <c r="CS25" s="6">
        <f t="shared" si="7"/>
        <v>5.489228144665226</v>
      </c>
      <c r="CT25" s="58">
        <f t="shared" si="8"/>
        <v>8818840.346373398</v>
      </c>
      <c r="CU25" s="58">
        <f t="shared" si="9"/>
        <v>16593792.880569346</v>
      </c>
      <c r="CV25" s="58">
        <f t="shared" si="10"/>
        <v>12706393.553902246</v>
      </c>
      <c r="CW25">
        <f t="shared" si="11"/>
        <v>13704216295.903374</v>
      </c>
      <c r="CX25">
        <f t="shared" si="12"/>
        <v>29990900759.838757</v>
      </c>
      <c r="CY25">
        <f t="shared" si="13"/>
        <v>21847558527.984653</v>
      </c>
      <c r="CZ25" s="59">
        <v>454.638</v>
      </c>
      <c r="DA25" s="59">
        <v>28.1976</v>
      </c>
      <c r="DB25" s="6">
        <v>0.47</v>
      </c>
      <c r="DC25" s="6">
        <v>8.67</v>
      </c>
      <c r="DD25" s="6">
        <v>3.77</v>
      </c>
      <c r="DE25" s="6">
        <v>41.23</v>
      </c>
      <c r="DF25" s="6">
        <v>0.61</v>
      </c>
      <c r="DG25" s="6">
        <v>29.67</v>
      </c>
      <c r="DH25" s="6">
        <v>10.93</v>
      </c>
      <c r="DI25" s="6">
        <v>0</v>
      </c>
      <c r="DJ25" s="6">
        <v>1.94</v>
      </c>
      <c r="DK25" s="6">
        <v>2.45</v>
      </c>
      <c r="DL25" s="6">
        <v>0</v>
      </c>
      <c r="DM25" s="6">
        <v>0.19</v>
      </c>
      <c r="DN25" s="6">
        <v>0.04</v>
      </c>
      <c r="DO25" s="6">
        <v>0.04</v>
      </c>
      <c r="DP25" s="6">
        <v>328.077</v>
      </c>
      <c r="DQ25" t="s">
        <v>433</v>
      </c>
      <c r="DR25" t="s">
        <v>434</v>
      </c>
      <c r="DS25" s="59">
        <v>1</v>
      </c>
      <c r="DT25">
        <v>2</v>
      </c>
      <c r="DU25">
        <f t="shared" si="14"/>
        <v>0</v>
      </c>
      <c r="DV25">
        <f t="shared" si="15"/>
        <v>1</v>
      </c>
      <c r="DW25">
        <f t="shared" si="16"/>
        <v>0</v>
      </c>
      <c r="DX25">
        <f t="shared" si="17"/>
        <v>1.28540272</v>
      </c>
      <c r="DY25" s="59">
        <f t="shared" si="18"/>
        <v>117113.0591525986</v>
      </c>
      <c r="DZ25">
        <f t="shared" si="20"/>
        <v>117113.0591525986</v>
      </c>
      <c r="EA25">
        <f t="shared" si="21"/>
        <v>1860100.1694895253</v>
      </c>
      <c r="EB25">
        <f t="shared" si="22"/>
        <v>40288233.76547235</v>
      </c>
      <c r="EC25">
        <f t="shared" si="23"/>
        <v>2944461.7731770705</v>
      </c>
      <c r="ED25" s="7">
        <f t="shared" si="19"/>
        <v>3.600888502280087</v>
      </c>
      <c r="EE25">
        <f t="shared" si="24"/>
        <v>117113.0591525986</v>
      </c>
      <c r="EF25">
        <f t="shared" si="25"/>
        <v>1860100.1694895253</v>
      </c>
      <c r="EG25">
        <f t="shared" si="26"/>
        <v>40288233.76547235</v>
      </c>
      <c r="EH25">
        <f t="shared" si="27"/>
        <v>2944461.7731770705</v>
      </c>
      <c r="EI25">
        <f t="shared" si="28"/>
        <v>0</v>
      </c>
      <c r="EJ25">
        <f t="shared" si="29"/>
        <v>0</v>
      </c>
      <c r="EK25">
        <f t="shared" si="30"/>
        <v>0</v>
      </c>
      <c r="EL25">
        <f t="shared" si="31"/>
        <v>0</v>
      </c>
    </row>
    <row r="26" spans="1:142" ht="12.75">
      <c r="A26" s="65" t="s">
        <v>474</v>
      </c>
      <c r="B26" s="66" t="s">
        <v>475</v>
      </c>
      <c r="C26" s="61">
        <v>24.41376280988007</v>
      </c>
      <c r="D26" s="7">
        <v>18.074763822453374</v>
      </c>
      <c r="E26" s="7">
        <v>5.015875592009527</v>
      </c>
      <c r="F26" s="7">
        <v>5.77221755734683</v>
      </c>
      <c r="G26" s="7">
        <v>5.394046574678167</v>
      </c>
      <c r="H26" s="7">
        <v>6.01718572285605</v>
      </c>
      <c r="I26" s="7">
        <v>14.107950149546099</v>
      </c>
      <c r="J26" s="7">
        <v>10.062567839523284</v>
      </c>
      <c r="K26" s="7">
        <v>0.8084833109015083</v>
      </c>
      <c r="L26" s="7">
        <v>1.052694423882348</v>
      </c>
      <c r="M26" s="7">
        <v>0.9305888673919265</v>
      </c>
      <c r="N26" s="7">
        <v>2.1479259158461086</v>
      </c>
      <c r="O26" s="7">
        <v>6.876130885678692</v>
      </c>
      <c r="P26" s="7">
        <v>4.512028400762403</v>
      </c>
      <c r="Q26" s="7">
        <v>0.06445752281357646</v>
      </c>
      <c r="R26" s="7">
        <v>0.10468328477098723</v>
      </c>
      <c r="S26" s="7">
        <v>0.08457034875187372</v>
      </c>
      <c r="T26" s="7">
        <v>3.051698919636489</v>
      </c>
      <c r="U26" s="7">
        <v>6.250281042587666</v>
      </c>
      <c r="V26" s="7">
        <v>4.650990077789873</v>
      </c>
      <c r="W26" s="7">
        <v>10.448303949156514</v>
      </c>
      <c r="X26" s="7">
        <v>21.178328755210977</v>
      </c>
      <c r="Y26" s="7">
        <v>15.813317152122327</v>
      </c>
      <c r="Z26" s="7">
        <v>5.129337959858405</v>
      </c>
      <c r="AA26" s="7">
        <v>5.931373336236586</v>
      </c>
      <c r="AB26" s="7">
        <v>5.530355579243214</v>
      </c>
      <c r="AC26" s="7">
        <v>7.4114197268078374</v>
      </c>
      <c r="AD26" s="7">
        <v>15.34273030103848</v>
      </c>
      <c r="AE26" s="7">
        <v>11.377075045197381</v>
      </c>
      <c r="AF26" s="7">
        <v>0.9510866960967428</v>
      </c>
      <c r="AG26" s="7">
        <v>1.227774610628205</v>
      </c>
      <c r="AH26" s="7">
        <v>1.0894321630111001</v>
      </c>
      <c r="AI26" s="7">
        <v>1.971293009497935</v>
      </c>
      <c r="AJ26" s="7">
        <v>6.498300654733692</v>
      </c>
      <c r="AK26" s="7">
        <v>4.234797067009055</v>
      </c>
      <c r="AL26" s="7">
        <v>0.053881316470028855</v>
      </c>
      <c r="AM26" s="7">
        <v>0.09047358617895086</v>
      </c>
      <c r="AN26" s="7">
        <v>0.07217854262501346</v>
      </c>
      <c r="AO26" s="7">
        <v>1.609325746495108</v>
      </c>
      <c r="AP26" s="7">
        <v>4.5387529930688215</v>
      </c>
      <c r="AQ26" s="7">
        <v>3.0740386443445447</v>
      </c>
      <c r="AR26" s="7">
        <v>9.044557901338605</v>
      </c>
      <c r="AS26" s="7">
        <v>16.002861674879565</v>
      </c>
      <c r="AT26" s="7">
        <v>12.523709735149135</v>
      </c>
      <c r="AU26" s="7">
        <v>5.2621310178925045</v>
      </c>
      <c r="AV26" s="7">
        <v>6.06267672233713</v>
      </c>
      <c r="AW26" s="7">
        <v>5.66240391935559</v>
      </c>
      <c r="AX26" s="7">
        <v>6.018391018606283</v>
      </c>
      <c r="AY26" s="7">
        <v>12.697789087755119</v>
      </c>
      <c r="AZ26" s="7">
        <v>9.358090007415035</v>
      </c>
      <c r="BA26" s="7">
        <v>1.1738881447359928</v>
      </c>
      <c r="BB26" s="7">
        <v>1.4888449125483583</v>
      </c>
      <c r="BC26" s="7">
        <v>1.3313663641009246</v>
      </c>
      <c r="BD26" s="7">
        <v>1.775061335260345</v>
      </c>
      <c r="BE26" s="7">
        <v>6.07815525781375</v>
      </c>
      <c r="BF26" s="7">
        <v>3.926608461078301</v>
      </c>
      <c r="BG26" s="7">
        <v>0.04299156270978792</v>
      </c>
      <c r="BH26" s="7">
        <v>0.07271499231241484</v>
      </c>
      <c r="BI26" s="7">
        <v>0.057853334631968935</v>
      </c>
      <c r="BJ26" s="7">
        <v>0.9852685260932679</v>
      </c>
      <c r="BK26" s="7">
        <v>2.960788357854062</v>
      </c>
      <c r="BL26" s="7">
        <v>1.97302848773933</v>
      </c>
      <c r="BM26" s="56">
        <v>26354.55936672032</v>
      </c>
      <c r="BN26" s="56">
        <v>50466.77196658365</v>
      </c>
      <c r="BO26" s="56">
        <v>38410.66566714353</v>
      </c>
      <c r="BP26" s="56">
        <v>195793.68812066363</v>
      </c>
      <c r="BQ26" s="56">
        <v>358378.21150791267</v>
      </c>
      <c r="BR26" s="56">
        <v>277085.94981492363</v>
      </c>
      <c r="BS26" s="7">
        <f t="shared" si="0"/>
        <v>10.306579588949624</v>
      </c>
      <c r="BT26" s="56">
        <v>498721580.1135665</v>
      </c>
      <c r="BU26" s="67">
        <f>588.228435*1000000</f>
        <v>588228435</v>
      </c>
      <c r="BV26" s="57">
        <f t="shared" si="32"/>
        <v>84.78365723914155</v>
      </c>
      <c r="BW26">
        <v>280477058.04751104</v>
      </c>
      <c r="BX26">
        <v>17789996.472585015</v>
      </c>
      <c r="BY26">
        <v>68994082.28361835</v>
      </c>
      <c r="BZ26">
        <v>123913820.56743188</v>
      </c>
      <c r="CA26">
        <v>3061711.2338141063</v>
      </c>
      <c r="CB26">
        <v>36101146.37827559</v>
      </c>
      <c r="CC26">
        <v>31727331.233514976</v>
      </c>
      <c r="CD26">
        <v>3873651.1263299994</v>
      </c>
      <c r="CE26" s="7">
        <v>56.239206248833696</v>
      </c>
      <c r="CF26" s="7">
        <v>3.5671198484200266</v>
      </c>
      <c r="CG26" s="7">
        <v>13.834188259490865</v>
      </c>
      <c r="CH26" s="7">
        <v>24.84629210133935</v>
      </c>
      <c r="CI26" s="7">
        <v>0.6139119211799313</v>
      </c>
      <c r="CJ26" s="7">
        <v>7.238737567773748</v>
      </c>
      <c r="CK26" s="7">
        <v>6.361732176556342</v>
      </c>
      <c r="CL26" s="7">
        <v>0.7767161640464626</v>
      </c>
      <c r="CM26" s="7">
        <v>3.5697592141481245</v>
      </c>
      <c r="CN26" s="56">
        <f t="shared" si="2"/>
        <v>15502501.211400487</v>
      </c>
      <c r="CO26" s="56">
        <f t="shared" si="3"/>
        <v>296859902.9340537</v>
      </c>
      <c r="CP26" s="56">
        <f t="shared" si="4"/>
        <v>22594245.752692066</v>
      </c>
      <c r="CQ26" s="6">
        <f t="shared" si="5"/>
        <v>3.09843937407852</v>
      </c>
      <c r="CR26" s="6">
        <f t="shared" si="6"/>
        <v>5.172725301044624</v>
      </c>
      <c r="CS26" s="6">
        <f t="shared" si="7"/>
        <v>4.135609239190062</v>
      </c>
      <c r="CT26" s="58">
        <f t="shared" si="8"/>
        <v>46305643.90133607</v>
      </c>
      <c r="CU26" s="58">
        <f t="shared" si="9"/>
        <v>77305490.56195079</v>
      </c>
      <c r="CV26" s="58">
        <f t="shared" si="10"/>
        <v>61805969.27185749</v>
      </c>
      <c r="CW26">
        <f t="shared" si="11"/>
        <v>115171414746.09607</v>
      </c>
      <c r="CX26">
        <f t="shared" si="12"/>
        <v>210808254493.39847</v>
      </c>
      <c r="CY26">
        <f t="shared" si="13"/>
        <v>162989834620.12106</v>
      </c>
      <c r="CZ26" s="59">
        <v>428.38</v>
      </c>
      <c r="DA26" s="59">
        <v>40.171</v>
      </c>
      <c r="DB26" s="6">
        <v>1.7</v>
      </c>
      <c r="DC26" s="6">
        <v>8.55</v>
      </c>
      <c r="DD26" s="6">
        <v>6.27</v>
      </c>
      <c r="DE26" s="68">
        <v>8.81</v>
      </c>
      <c r="DF26" s="68">
        <v>2.69</v>
      </c>
      <c r="DG26" s="68">
        <v>46.36</v>
      </c>
      <c r="DH26" s="68">
        <v>9.73</v>
      </c>
      <c r="DI26" s="68">
        <v>1.67</v>
      </c>
      <c r="DJ26" s="68">
        <v>0.71</v>
      </c>
      <c r="DK26" s="68">
        <v>7.14</v>
      </c>
      <c r="DL26" s="68">
        <v>4.83</v>
      </c>
      <c r="DM26" s="68">
        <v>1.3</v>
      </c>
      <c r="DN26" s="68">
        <v>0.14</v>
      </c>
      <c r="DO26" s="68">
        <v>0.1</v>
      </c>
      <c r="DP26" s="6">
        <v>2245.2</v>
      </c>
      <c r="DQ26" t="s">
        <v>467</v>
      </c>
      <c r="DR26" t="s">
        <v>467</v>
      </c>
      <c r="DS26" s="63">
        <v>1</v>
      </c>
      <c r="DT26">
        <v>0</v>
      </c>
      <c r="DU26">
        <f t="shared" si="14"/>
        <v>0</v>
      </c>
      <c r="DV26">
        <f t="shared" si="15"/>
        <v>0</v>
      </c>
      <c r="DW26">
        <f t="shared" si="16"/>
        <v>1</v>
      </c>
      <c r="DX26">
        <f t="shared" si="17"/>
        <v>1.3001072</v>
      </c>
      <c r="DY26" s="59">
        <f t="shared" si="18"/>
        <v>764760.023588232</v>
      </c>
      <c r="DZ26">
        <f t="shared" si="20"/>
        <v>764760.023588232</v>
      </c>
      <c r="EA26">
        <f t="shared" si="21"/>
        <v>15502501.211400487</v>
      </c>
      <c r="EB26">
        <f t="shared" si="22"/>
        <v>296859902.9340537</v>
      </c>
      <c r="EC26">
        <f t="shared" si="23"/>
        <v>22594245.752692066</v>
      </c>
      <c r="ED26" s="7">
        <f t="shared" si="19"/>
        <v>3.816884506781791</v>
      </c>
      <c r="EE26">
        <f t="shared" si="24"/>
        <v>0</v>
      </c>
      <c r="EF26">
        <f t="shared" si="25"/>
        <v>0</v>
      </c>
      <c r="EG26">
        <f t="shared" si="26"/>
        <v>0</v>
      </c>
      <c r="EH26">
        <f t="shared" si="27"/>
        <v>0</v>
      </c>
      <c r="EI26">
        <f t="shared" si="28"/>
        <v>0</v>
      </c>
      <c r="EJ26">
        <f t="shared" si="29"/>
        <v>0</v>
      </c>
      <c r="EK26">
        <f t="shared" si="30"/>
        <v>0</v>
      </c>
      <c r="EL26">
        <f t="shared" si="31"/>
        <v>0</v>
      </c>
    </row>
    <row r="27" spans="1:142" ht="12.75">
      <c r="A27" s="55" t="s">
        <v>476</v>
      </c>
      <c r="B27" s="60" t="s">
        <v>477</v>
      </c>
      <c r="C27" s="61">
        <v>39.16112784063098</v>
      </c>
      <c r="D27" s="7">
        <v>29.350434670792087</v>
      </c>
      <c r="E27" s="7">
        <v>5.0297651394591485</v>
      </c>
      <c r="F27" s="7">
        <v>5.820199763971602</v>
      </c>
      <c r="G27" s="7">
        <v>5.424982451715377</v>
      </c>
      <c r="H27" s="7">
        <v>4.344013523355873</v>
      </c>
      <c r="I27" s="7">
        <v>9.354446926063064</v>
      </c>
      <c r="J27" s="7">
        <v>6.849230224709466</v>
      </c>
      <c r="K27" s="7">
        <v>0.9154682301305728</v>
      </c>
      <c r="L27" s="7">
        <v>1.172028094897014</v>
      </c>
      <c r="M27" s="7">
        <v>1.043748162513793</v>
      </c>
      <c r="N27" s="7">
        <v>2.526875861856741</v>
      </c>
      <c r="O27" s="7">
        <v>7.844065516498589</v>
      </c>
      <c r="P27" s="7">
        <v>5.1854706891776665</v>
      </c>
      <c r="Q27" s="7">
        <v>0.05421575369849832</v>
      </c>
      <c r="R27" s="7">
        <v>0.08340052896027089</v>
      </c>
      <c r="S27" s="7">
        <v>0.06880814132938463</v>
      </c>
      <c r="T27" s="7">
        <v>1.3774425241735546</v>
      </c>
      <c r="U27" s="7">
        <v>2.8921232407480897</v>
      </c>
      <c r="V27" s="7">
        <v>2.1347828824608226</v>
      </c>
      <c r="W27" s="7">
        <v>20.651595669485815</v>
      </c>
      <c r="X27" s="7">
        <v>34.829285906708</v>
      </c>
      <c r="Y27" s="7">
        <v>27.7404407880969</v>
      </c>
      <c r="Z27" s="7">
        <v>5.206034181598062</v>
      </c>
      <c r="AA27" s="7">
        <v>5.984609333421895</v>
      </c>
      <c r="AB27" s="7">
        <v>5.59532173178004</v>
      </c>
      <c r="AC27" s="7">
        <v>6.6881768199735925</v>
      </c>
      <c r="AD27" s="7">
        <v>11.950953776176412</v>
      </c>
      <c r="AE27" s="7">
        <v>9.319565298075004</v>
      </c>
      <c r="AF27" s="7">
        <v>1.2399170014762941</v>
      </c>
      <c r="AG27" s="7">
        <v>1.501777605584893</v>
      </c>
      <c r="AH27" s="7">
        <v>1.3708465716314437</v>
      </c>
      <c r="AI27" s="7">
        <v>1.8064452929678008</v>
      </c>
      <c r="AJ27" s="7">
        <v>5.771394822770085</v>
      </c>
      <c r="AK27" s="7">
        <v>3.788921375058598</v>
      </c>
      <c r="AL27" s="7">
        <v>0.04905727560815061</v>
      </c>
      <c r="AM27" s="7">
        <v>0.0766450683075733</v>
      </c>
      <c r="AN27" s="7">
        <v>0.06285178297830489</v>
      </c>
      <c r="AO27" s="7">
        <v>0.861640754388689</v>
      </c>
      <c r="AP27" s="7">
        <v>1.9111212710534171</v>
      </c>
      <c r="AQ27" s="7">
        <v>1.3863815980115572</v>
      </c>
      <c r="AR27" s="7">
        <v>21.955679328731634</v>
      </c>
      <c r="AS27" s="7">
        <v>29.982908059036</v>
      </c>
      <c r="AT27" s="7">
        <v>25.969293693883813</v>
      </c>
      <c r="AU27" s="7">
        <v>5.40511577120867</v>
      </c>
      <c r="AV27" s="7">
        <v>6.170973820035758</v>
      </c>
      <c r="AW27" s="7">
        <v>5.7880447956222145</v>
      </c>
      <c r="AX27" s="7">
        <v>6.668309284979824</v>
      </c>
      <c r="AY27" s="7">
        <v>11.869415782895105</v>
      </c>
      <c r="AZ27" s="7">
        <v>9.268862533937467</v>
      </c>
      <c r="BA27" s="7">
        <v>1.5586856163205105</v>
      </c>
      <c r="BB27" s="7">
        <v>1.83869532712353</v>
      </c>
      <c r="BC27" s="7">
        <v>1.6986904717220201</v>
      </c>
      <c r="BD27" s="7">
        <v>1.1562734436895044</v>
      </c>
      <c r="BE27" s="7">
        <v>3.8939644273099274</v>
      </c>
      <c r="BF27" s="7">
        <v>2.5251189354997168</v>
      </c>
      <c r="BG27" s="7">
        <v>0.04834452712749669</v>
      </c>
      <c r="BH27" s="7">
        <v>0.07537565835284063</v>
      </c>
      <c r="BI27" s="7">
        <v>0.061860092740168654</v>
      </c>
      <c r="BJ27" s="7">
        <v>0.6909764203452332</v>
      </c>
      <c r="BK27" s="7">
        <v>1.499010941591883</v>
      </c>
      <c r="BL27" s="7">
        <v>1.0949936809685583</v>
      </c>
      <c r="BM27" s="56">
        <v>19516.673911677557</v>
      </c>
      <c r="BN27" s="56">
        <v>34759.24253464531</v>
      </c>
      <c r="BO27" s="56">
        <v>27137.958223746726</v>
      </c>
      <c r="BP27" s="56">
        <v>475885.54497992655</v>
      </c>
      <c r="BQ27" s="56">
        <v>743148.8364511193</v>
      </c>
      <c r="BR27" s="56">
        <v>609517.1907155231</v>
      </c>
      <c r="BS27" s="7">
        <f t="shared" si="0"/>
        <v>8.805217177746881</v>
      </c>
      <c r="BT27" s="56">
        <v>4294686.960382811</v>
      </c>
      <c r="BU27" s="8">
        <v>4294519.60076</v>
      </c>
      <c r="BV27" s="57">
        <f t="shared" si="32"/>
        <v>100.00389705108765</v>
      </c>
      <c r="BW27">
        <v>0</v>
      </c>
      <c r="BX27">
        <v>0</v>
      </c>
      <c r="BY27">
        <v>0</v>
      </c>
      <c r="BZ27">
        <v>4292446.550454861</v>
      </c>
      <c r="CA27">
        <v>2240.40992795</v>
      </c>
      <c r="CB27">
        <v>0</v>
      </c>
      <c r="CC27">
        <v>0</v>
      </c>
      <c r="CD27">
        <v>0</v>
      </c>
      <c r="CE27" s="7">
        <v>0</v>
      </c>
      <c r="CF27" s="7">
        <v>0</v>
      </c>
      <c r="CG27" s="7">
        <v>0</v>
      </c>
      <c r="CH27" s="7">
        <v>99.94783298646404</v>
      </c>
      <c r="CI27" s="7">
        <v>0.05216701353595977</v>
      </c>
      <c r="CJ27" s="7">
        <v>0</v>
      </c>
      <c r="CK27" s="7">
        <v>0</v>
      </c>
      <c r="CL27" s="7">
        <v>0</v>
      </c>
      <c r="CM27" s="7">
        <v>0.05216701353595977</v>
      </c>
      <c r="CN27" s="56">
        <f t="shared" si="2"/>
        <v>83814.73865534061</v>
      </c>
      <c r="CO27" s="56">
        <f t="shared" si="3"/>
        <v>1492742.4837260498</v>
      </c>
      <c r="CP27" s="56">
        <f t="shared" si="4"/>
        <v>116544.49351648634</v>
      </c>
      <c r="CQ27" s="6">
        <f t="shared" si="5"/>
        <v>2.988232310037515</v>
      </c>
      <c r="CR27" s="6">
        <f t="shared" si="6"/>
        <v>4.649303787373185</v>
      </c>
      <c r="CS27" s="6">
        <f t="shared" si="7"/>
        <v>3.81878271319598</v>
      </c>
      <c r="CT27" s="58">
        <f t="shared" si="8"/>
        <v>326042.23137907626</v>
      </c>
      <c r="CU27" s="58">
        <f t="shared" si="9"/>
        <v>507279.6302022827</v>
      </c>
      <c r="CV27" s="58">
        <f t="shared" si="10"/>
        <v>416662.53081462375</v>
      </c>
      <c r="CW27">
        <f t="shared" si="11"/>
        <v>2043699800.6346493</v>
      </c>
      <c r="CX27">
        <f t="shared" si="12"/>
        <v>3191467244.4213195</v>
      </c>
      <c r="CY27">
        <f t="shared" si="13"/>
        <v>2617583522.527985</v>
      </c>
      <c r="CZ27" s="59">
        <v>279.466</v>
      </c>
      <c r="DA27" s="59">
        <v>23.426</v>
      </c>
      <c r="DB27" s="6">
        <v>6.6</v>
      </c>
      <c r="DC27" s="6">
        <v>8.42</v>
      </c>
      <c r="DD27" s="6">
        <v>12.76</v>
      </c>
      <c r="DE27" s="6">
        <v>6.1</v>
      </c>
      <c r="DF27" s="6">
        <v>0</v>
      </c>
      <c r="DG27" s="6">
        <v>55.78</v>
      </c>
      <c r="DH27" s="6">
        <v>5.13</v>
      </c>
      <c r="DI27" s="6">
        <v>0</v>
      </c>
      <c r="DJ27" s="6">
        <v>0.17</v>
      </c>
      <c r="DK27" s="6">
        <v>4.53</v>
      </c>
      <c r="DL27" s="6">
        <v>0</v>
      </c>
      <c r="DM27" s="6">
        <v>0.5</v>
      </c>
      <c r="DN27" s="6">
        <v>0.02</v>
      </c>
      <c r="DO27" s="6">
        <v>0</v>
      </c>
      <c r="DP27" s="6">
        <v>42.3444</v>
      </c>
      <c r="DQ27" t="s">
        <v>441</v>
      </c>
      <c r="DR27" t="s">
        <v>441</v>
      </c>
      <c r="DS27" s="59">
        <v>1</v>
      </c>
      <c r="DT27">
        <v>1</v>
      </c>
      <c r="DU27">
        <f t="shared" si="14"/>
        <v>1</v>
      </c>
      <c r="DV27">
        <f t="shared" si="15"/>
        <v>0</v>
      </c>
      <c r="DW27">
        <f t="shared" si="16"/>
        <v>0</v>
      </c>
      <c r="DX27">
        <f t="shared" si="17"/>
        <v>1.38349904</v>
      </c>
      <c r="DY27" s="59">
        <f t="shared" si="18"/>
        <v>5941.463744912643</v>
      </c>
      <c r="DZ27">
        <f t="shared" si="20"/>
        <v>5941.463744912643</v>
      </c>
      <c r="EA27">
        <f t="shared" si="21"/>
        <v>83814.73865534061</v>
      </c>
      <c r="EB27">
        <f t="shared" si="22"/>
        <v>1492742.4837260498</v>
      </c>
      <c r="EC27">
        <f t="shared" si="23"/>
        <v>116544.49351648634</v>
      </c>
      <c r="ED27" s="7">
        <f t="shared" si="19"/>
        <v>9.86010169624242</v>
      </c>
      <c r="EE27">
        <f t="shared" si="24"/>
        <v>0</v>
      </c>
      <c r="EF27">
        <f t="shared" si="25"/>
        <v>0</v>
      </c>
      <c r="EG27">
        <f t="shared" si="26"/>
        <v>0</v>
      </c>
      <c r="EH27">
        <f t="shared" si="27"/>
        <v>0</v>
      </c>
      <c r="EI27">
        <f t="shared" si="28"/>
        <v>5941.463744912643</v>
      </c>
      <c r="EJ27">
        <f t="shared" si="29"/>
        <v>83814.73865534061</v>
      </c>
      <c r="EK27">
        <f t="shared" si="30"/>
        <v>1492742.4837260498</v>
      </c>
      <c r="EL27">
        <f t="shared" si="31"/>
        <v>116544.49351648634</v>
      </c>
    </row>
    <row r="28" spans="1:142" ht="12.75">
      <c r="A28" s="55" t="s">
        <v>478</v>
      </c>
      <c r="B28" t="s">
        <v>479</v>
      </c>
      <c r="C28" s="7">
        <v>20.370271566030326</v>
      </c>
      <c r="D28" s="7">
        <v>13.204529212444607</v>
      </c>
      <c r="E28" s="7">
        <v>5.083759061822178</v>
      </c>
      <c r="F28" s="7">
        <v>5.968910536231956</v>
      </c>
      <c r="G28" s="7">
        <v>5.526334799027067</v>
      </c>
      <c r="H28" s="7">
        <v>3.390194339335597</v>
      </c>
      <c r="I28" s="7">
        <v>10.376146833782775</v>
      </c>
      <c r="J28" s="7">
        <v>6.8831705865591895</v>
      </c>
      <c r="K28" s="7">
        <v>0.9122887037183304</v>
      </c>
      <c r="L28" s="7">
        <v>1.159672413156685</v>
      </c>
      <c r="M28" s="7">
        <v>1.0359805584375075</v>
      </c>
      <c r="N28" s="7">
        <v>3.4271514015432767</v>
      </c>
      <c r="O28" s="7">
        <v>11.021400124169167</v>
      </c>
      <c r="P28" s="7">
        <v>7.224275762856224</v>
      </c>
      <c r="Q28" s="7">
        <v>0.054428259028561014</v>
      </c>
      <c r="R28" s="7">
        <v>0.0901788734568384</v>
      </c>
      <c r="S28" s="7">
        <v>0.07230356624269968</v>
      </c>
      <c r="T28" s="7">
        <v>1.5868611379780935</v>
      </c>
      <c r="U28" s="7">
        <v>4.00697505658462</v>
      </c>
      <c r="V28" s="7">
        <v>2.7969180972813574</v>
      </c>
      <c r="W28" s="7">
        <v>10.462394940537656</v>
      </c>
      <c r="X28" s="7">
        <v>22.95931426047993</v>
      </c>
      <c r="Y28" s="7">
        <v>16.710857473381363</v>
      </c>
      <c r="Z28" s="7">
        <v>5.281373183584556</v>
      </c>
      <c r="AA28" s="7">
        <v>5.97258000517452</v>
      </c>
      <c r="AB28" s="7">
        <v>5.62697349149905</v>
      </c>
      <c r="AC28" s="7">
        <v>3.2091065002232244</v>
      </c>
      <c r="AD28" s="7">
        <v>9.308557257437025</v>
      </c>
      <c r="AE28" s="7">
        <v>6.258831837196665</v>
      </c>
      <c r="AF28" s="7">
        <v>1.1722494593090198</v>
      </c>
      <c r="AG28" s="7">
        <v>1.420404613979519</v>
      </c>
      <c r="AH28" s="7">
        <v>1.2963308678555165</v>
      </c>
      <c r="AI28" s="7">
        <v>6.059541541871428</v>
      </c>
      <c r="AJ28" s="7">
        <v>26.84153577290613</v>
      </c>
      <c r="AK28" s="7">
        <v>16.450535826106286</v>
      </c>
      <c r="AL28" s="7">
        <v>0.05191436336240383</v>
      </c>
      <c r="AM28" s="7">
        <v>0.08917651336524408</v>
      </c>
      <c r="AN28" s="7">
        <v>0.07054644269562457</v>
      </c>
      <c r="AO28" s="7">
        <v>1.2292351717343473</v>
      </c>
      <c r="AP28" s="7">
        <v>2.826828277451308</v>
      </c>
      <c r="AQ28" s="7">
        <v>2.028031723334973</v>
      </c>
      <c r="AR28" s="7">
        <v>19.755883701111586</v>
      </c>
      <c r="AS28" s="7">
        <v>28.425297811158845</v>
      </c>
      <c r="AT28" s="7">
        <v>24.090590756135228</v>
      </c>
      <c r="AU28" s="7">
        <v>5.567670349623242</v>
      </c>
      <c r="AV28" s="7">
        <v>5.980361834277564</v>
      </c>
      <c r="AW28" s="7">
        <v>5.774016091950404</v>
      </c>
      <c r="AX28" s="7">
        <v>3.1655820082017887</v>
      </c>
      <c r="AY28" s="7">
        <v>8.743398592031813</v>
      </c>
      <c r="AZ28" s="7">
        <v>5.954490300116801</v>
      </c>
      <c r="BA28" s="7">
        <v>1.5648093031756412</v>
      </c>
      <c r="BB28" s="7">
        <v>1.8237710009744161</v>
      </c>
      <c r="BC28" s="7">
        <v>1.6942901520750282</v>
      </c>
      <c r="BD28" s="7">
        <v>8.069686722044848</v>
      </c>
      <c r="BE28" s="7">
        <v>40.32482988443399</v>
      </c>
      <c r="BF28" s="7">
        <v>24.19725830323943</v>
      </c>
      <c r="BG28" s="7">
        <v>0.05030517514833</v>
      </c>
      <c r="BH28" s="7">
        <v>0.08886214789148905</v>
      </c>
      <c r="BI28" s="7">
        <v>0.06958366151990952</v>
      </c>
      <c r="BJ28" s="7">
        <v>0.9173375544871492</v>
      </c>
      <c r="BK28" s="7">
        <v>1.7314330811820648</v>
      </c>
      <c r="BL28" s="7">
        <v>1.3243853178346063</v>
      </c>
      <c r="BM28" s="56">
        <v>19514.678507141398</v>
      </c>
      <c r="BN28" s="56">
        <v>35292.477018978025</v>
      </c>
      <c r="BO28" s="56">
        <v>27403.57776690551</v>
      </c>
      <c r="BP28" s="56">
        <v>305059.453287521</v>
      </c>
      <c r="BQ28" s="56">
        <v>529973.5959151424</v>
      </c>
      <c r="BR28" s="56">
        <v>417516.52459850046</v>
      </c>
      <c r="BS28" s="7">
        <f t="shared" si="0"/>
        <v>6.261962972237224</v>
      </c>
      <c r="BT28" s="56">
        <v>32369818.62241471</v>
      </c>
      <c r="BU28" s="8">
        <v>32354646.4008</v>
      </c>
      <c r="BV28" s="57">
        <f t="shared" si="32"/>
        <v>100.04689348610631</v>
      </c>
      <c r="BW28">
        <v>0</v>
      </c>
      <c r="BX28">
        <v>521204.93334497896</v>
      </c>
      <c r="BY28">
        <v>17542169.066885304</v>
      </c>
      <c r="BZ28">
        <v>13384854.387250846</v>
      </c>
      <c r="CA28">
        <v>468830.82051603</v>
      </c>
      <c r="CB28">
        <v>452759.41441754997</v>
      </c>
      <c r="CC28">
        <v>0</v>
      </c>
      <c r="CD28">
        <v>0</v>
      </c>
      <c r="CE28" s="7">
        <v>0</v>
      </c>
      <c r="CF28" s="7">
        <v>1.6101571016652745</v>
      </c>
      <c r="CG28" s="7">
        <v>54.19297918073012</v>
      </c>
      <c r="CH28" s="7">
        <v>41.34979730155921</v>
      </c>
      <c r="CI28" s="7">
        <v>1.4483578854265955</v>
      </c>
      <c r="CJ28" s="7">
        <v>1.3987085306188078</v>
      </c>
      <c r="CK28" s="7">
        <v>0</v>
      </c>
      <c r="CL28" s="7">
        <v>0</v>
      </c>
      <c r="CM28" s="7">
        <v>2.006693473294768</v>
      </c>
      <c r="CN28" s="56">
        <f t="shared" si="2"/>
        <v>631390.5227238516</v>
      </c>
      <c r="CO28" s="56">
        <f t="shared" si="3"/>
        <v>11418756.14557394</v>
      </c>
      <c r="CP28" s="56">
        <f t="shared" si="4"/>
        <v>886633.0687650522</v>
      </c>
      <c r="CQ28" s="6">
        <f t="shared" si="5"/>
        <v>3.106408032600344</v>
      </c>
      <c r="CR28" s="6">
        <f t="shared" si="6"/>
        <v>5.3550743516436565</v>
      </c>
      <c r="CS28" s="6">
        <f t="shared" si="7"/>
        <v>4.230765296085215</v>
      </c>
      <c r="CT28" s="58">
        <f t="shared" si="8"/>
        <v>2553524.7325048</v>
      </c>
      <c r="CU28" s="58">
        <f t="shared" si="9"/>
        <v>4401969.946580891</v>
      </c>
      <c r="CV28" s="58">
        <f t="shared" si="10"/>
        <v>3477767.1534454534</v>
      </c>
      <c r="CW28">
        <f t="shared" si="11"/>
        <v>9870090742.339108</v>
      </c>
      <c r="CX28">
        <f t="shared" si="12"/>
        <v>17147108297.594898</v>
      </c>
      <c r="CY28">
        <f t="shared" si="13"/>
        <v>13508599519.875399</v>
      </c>
      <c r="CZ28" s="59">
        <v>141.315</v>
      </c>
      <c r="DA28" s="59">
        <v>10.7821</v>
      </c>
      <c r="DB28" s="6">
        <v>2.1</v>
      </c>
      <c r="DC28" s="6">
        <v>6.94</v>
      </c>
      <c r="DD28" s="6">
        <v>8.11</v>
      </c>
      <c r="DE28" s="6">
        <v>13.49</v>
      </c>
      <c r="DF28" s="6">
        <v>0.9</v>
      </c>
      <c r="DG28" s="6">
        <v>46.74</v>
      </c>
      <c r="DH28" s="6">
        <v>14.43</v>
      </c>
      <c r="DI28" s="6">
        <v>0</v>
      </c>
      <c r="DJ28" s="6">
        <v>0.12</v>
      </c>
      <c r="DK28" s="6">
        <v>5.54</v>
      </c>
      <c r="DL28" s="6">
        <v>0</v>
      </c>
      <c r="DM28" s="6">
        <v>1.42</v>
      </c>
      <c r="DN28" s="6">
        <v>0.16</v>
      </c>
      <c r="DO28" s="6">
        <v>0.06</v>
      </c>
      <c r="DP28" s="6">
        <v>1011.46</v>
      </c>
      <c r="DQ28" t="s">
        <v>261</v>
      </c>
      <c r="DR28" t="s">
        <v>423</v>
      </c>
      <c r="DS28" s="59">
        <v>1</v>
      </c>
      <c r="DT28">
        <v>1</v>
      </c>
      <c r="DU28">
        <f t="shared" si="14"/>
        <v>1</v>
      </c>
      <c r="DV28">
        <f t="shared" si="15"/>
        <v>0</v>
      </c>
      <c r="DW28">
        <f t="shared" si="16"/>
        <v>0</v>
      </c>
      <c r="DX28">
        <f t="shared" si="17"/>
        <v>1.4608636000000002</v>
      </c>
      <c r="DY28" s="59">
        <f t="shared" si="18"/>
        <v>47265.725217799736</v>
      </c>
      <c r="DZ28">
        <f t="shared" si="20"/>
        <v>47265.725217799736</v>
      </c>
      <c r="EA28">
        <f t="shared" si="21"/>
        <v>631390.5227238516</v>
      </c>
      <c r="EB28">
        <f t="shared" si="22"/>
        <v>11418756.14557394</v>
      </c>
      <c r="EC28">
        <f t="shared" si="23"/>
        <v>886633.0687650522</v>
      </c>
      <c r="ED28" s="7">
        <f t="shared" si="19"/>
        <v>31.26166138459145</v>
      </c>
      <c r="EE28">
        <f t="shared" si="24"/>
        <v>0</v>
      </c>
      <c r="EF28">
        <f t="shared" si="25"/>
        <v>0</v>
      </c>
      <c r="EG28">
        <f t="shared" si="26"/>
        <v>0</v>
      </c>
      <c r="EH28">
        <f t="shared" si="27"/>
        <v>0</v>
      </c>
      <c r="EI28">
        <f t="shared" si="28"/>
        <v>47265.725217799736</v>
      </c>
      <c r="EJ28">
        <f t="shared" si="29"/>
        <v>631390.5227238516</v>
      </c>
      <c r="EK28">
        <f t="shared" si="30"/>
        <v>11418756.14557394</v>
      </c>
      <c r="EL28">
        <f t="shared" si="31"/>
        <v>886633.0687650522</v>
      </c>
    </row>
    <row r="29" spans="1:142" ht="12.75">
      <c r="A29" s="55" t="s">
        <v>480</v>
      </c>
      <c r="B29" t="s">
        <v>481</v>
      </c>
      <c r="C29" s="7">
        <v>20.828985693250836</v>
      </c>
      <c r="D29" s="7">
        <v>12.60686600176419</v>
      </c>
      <c r="E29" s="7">
        <v>5.358361470842421</v>
      </c>
      <c r="F29" s="7">
        <v>6.3358699120951485</v>
      </c>
      <c r="G29" s="7">
        <v>5.847115691468785</v>
      </c>
      <c r="H29" s="7">
        <v>4.901469251962388</v>
      </c>
      <c r="I29" s="7">
        <v>11.193276606174496</v>
      </c>
      <c r="J29" s="7">
        <v>8.047372929068443</v>
      </c>
      <c r="K29" s="7">
        <v>0.975130429202475</v>
      </c>
      <c r="L29" s="7">
        <v>1.212212355660354</v>
      </c>
      <c r="M29" s="7">
        <v>1.093671392431414</v>
      </c>
      <c r="N29" s="7">
        <v>1.7171185392506991</v>
      </c>
      <c r="O29" s="7">
        <v>5.2424402111356265</v>
      </c>
      <c r="P29" s="7">
        <v>3.4797793751931625</v>
      </c>
      <c r="Q29" s="7">
        <v>0.05721932379550056</v>
      </c>
      <c r="R29" s="7">
        <v>0.0974163852915758</v>
      </c>
      <c r="S29" s="7">
        <v>0.07731785454353816</v>
      </c>
      <c r="T29" s="7">
        <v>1</v>
      </c>
      <c r="U29" s="7">
        <v>2.741638529157578</v>
      </c>
      <c r="V29" s="7">
        <v>1.870819264578789</v>
      </c>
      <c r="W29" s="7">
        <v>10.400847066753414</v>
      </c>
      <c r="X29" s="7">
        <v>24.438647591001118</v>
      </c>
      <c r="Y29" s="7">
        <v>17.419750938539163</v>
      </c>
      <c r="Z29" s="7">
        <v>5.481970364497116</v>
      </c>
      <c r="AA29" s="7">
        <v>6.3358699120951485</v>
      </c>
      <c r="AB29" s="7">
        <v>5.908916430103485</v>
      </c>
      <c r="AC29" s="7">
        <v>4.901469251962388</v>
      </c>
      <c r="AD29" s="7">
        <v>11.193276606174496</v>
      </c>
      <c r="AE29" s="7">
        <v>8.047372929068443</v>
      </c>
      <c r="AF29" s="7">
        <v>1.1803323362668108</v>
      </c>
      <c r="AG29" s="7">
        <v>1.429120571039328</v>
      </c>
      <c r="AH29" s="7">
        <v>1.3047300633149672</v>
      </c>
      <c r="AI29" s="7">
        <v>1.3280354339740468</v>
      </c>
      <c r="AJ29" s="7">
        <v>4.338511488180944</v>
      </c>
      <c r="AK29" s="7">
        <v>2.8332698514155976</v>
      </c>
      <c r="AL29" s="7">
        <v>0.05721932379550056</v>
      </c>
      <c r="AM29" s="7">
        <v>0.0974163852915758</v>
      </c>
      <c r="AN29" s="7">
        <v>0.07731785454353816</v>
      </c>
      <c r="AO29" s="7">
        <v>0.8763911063453064</v>
      </c>
      <c r="AP29" s="7">
        <v>2.247210370924096</v>
      </c>
      <c r="AQ29" s="7">
        <v>1.561800738634701</v>
      </c>
      <c r="AR29" s="7">
        <v>22.433055799028942</v>
      </c>
      <c r="AS29" s="7">
        <v>31.291958441603345</v>
      </c>
      <c r="AT29" s="7">
        <v>26.862508412123496</v>
      </c>
      <c r="AU29" s="7">
        <v>5.729180735421211</v>
      </c>
      <c r="AV29" s="7">
        <v>6.3358699120951485</v>
      </c>
      <c r="AW29" s="7">
        <v>6.032525323758179</v>
      </c>
      <c r="AX29" s="7">
        <v>4.901469251962388</v>
      </c>
      <c r="AY29" s="7">
        <v>11.193276606174496</v>
      </c>
      <c r="AZ29" s="7">
        <v>8.047372929068443</v>
      </c>
      <c r="BA29" s="7">
        <v>1.5907435667807746</v>
      </c>
      <c r="BB29" s="7">
        <v>1.86293680473578</v>
      </c>
      <c r="BC29" s="7">
        <v>1.7268401857582776</v>
      </c>
      <c r="BD29" s="7">
        <v>0.5498618070354506</v>
      </c>
      <c r="BE29" s="7">
        <v>2.530653845210084</v>
      </c>
      <c r="BF29" s="7">
        <v>1.5402578261227673</v>
      </c>
      <c r="BG29" s="7">
        <v>0.05539012458193621</v>
      </c>
      <c r="BH29" s="7">
        <v>0.09375540324973868</v>
      </c>
      <c r="BI29" s="7">
        <v>0.07457405572319166</v>
      </c>
      <c r="BJ29" s="7">
        <v>0.5376768532929503</v>
      </c>
      <c r="BK29" s="7">
        <v>1.075356290200609</v>
      </c>
      <c r="BL29" s="7">
        <v>0.8065165717467796</v>
      </c>
      <c r="BM29" s="56">
        <v>17371.254711074307</v>
      </c>
      <c r="BN29" s="56">
        <v>34293.805290126635</v>
      </c>
      <c r="BO29" s="56">
        <v>25832.530004210137</v>
      </c>
      <c r="BP29" s="56">
        <v>345840.6398566833</v>
      </c>
      <c r="BQ29" s="56">
        <v>602936.7652313702</v>
      </c>
      <c r="BR29" s="56">
        <v>474388.7025404171</v>
      </c>
      <c r="BS29" s="7">
        <f t="shared" si="0"/>
        <v>8.047372929068441</v>
      </c>
      <c r="BT29" s="56">
        <v>1438989.7272715</v>
      </c>
      <c r="BU29" s="8">
        <v>1438310.84176</v>
      </c>
      <c r="BV29" s="57">
        <f t="shared" si="32"/>
        <v>100.04720019426881</v>
      </c>
      <c r="BW29">
        <v>0</v>
      </c>
      <c r="BX29">
        <v>0</v>
      </c>
      <c r="BY29">
        <v>1038853.2779572001</v>
      </c>
      <c r="BZ29">
        <v>400136.4493143</v>
      </c>
      <c r="CA29">
        <v>0</v>
      </c>
      <c r="CB29">
        <v>0</v>
      </c>
      <c r="CC29">
        <v>0</v>
      </c>
      <c r="CD29">
        <v>0</v>
      </c>
      <c r="CE29" s="7">
        <v>0</v>
      </c>
      <c r="CF29" s="7">
        <v>0</v>
      </c>
      <c r="CG29" s="7">
        <v>72.1932379550056</v>
      </c>
      <c r="CH29" s="7">
        <v>27.80676204499441</v>
      </c>
      <c r="CI29" s="7">
        <v>0</v>
      </c>
      <c r="CJ29" s="7">
        <v>0</v>
      </c>
      <c r="CK29" s="7">
        <v>0</v>
      </c>
      <c r="CL29" s="7">
        <v>0</v>
      </c>
      <c r="CM29" s="7">
        <v>0</v>
      </c>
      <c r="CN29" s="56">
        <f t="shared" si="2"/>
        <v>24985.26398591265</v>
      </c>
      <c r="CO29" s="56">
        <f t="shared" si="3"/>
        <v>493251.5195399558</v>
      </c>
      <c r="CP29" s="56">
        <f t="shared" si="4"/>
        <v>37155.20797514594</v>
      </c>
      <c r="CQ29" s="6">
        <f t="shared" si="5"/>
        <v>3.38925864660449</v>
      </c>
      <c r="CR29" s="6">
        <f t="shared" si="6"/>
        <v>5.757119548490457</v>
      </c>
      <c r="CS29" s="6">
        <f t="shared" si="7"/>
        <v>4.573220100923974</v>
      </c>
      <c r="CT29" s="58">
        <f t="shared" si="8"/>
        <v>123851.81547103816</v>
      </c>
      <c r="CU29" s="58">
        <f t="shared" si="9"/>
        <v>210379.25467231352</v>
      </c>
      <c r="CV29" s="58">
        <f t="shared" si="10"/>
        <v>167116.66801101915</v>
      </c>
      <c r="CW29">
        <f t="shared" si="11"/>
        <v>497426341.8270832</v>
      </c>
      <c r="CX29">
        <f t="shared" si="12"/>
        <v>867210486.3279836</v>
      </c>
      <c r="CY29">
        <f t="shared" si="13"/>
        <v>682318414.0723416</v>
      </c>
      <c r="CZ29" s="59">
        <v>93.3555</v>
      </c>
      <c r="DA29" s="59">
        <v>12.8504</v>
      </c>
      <c r="DB29" s="6">
        <v>1.32</v>
      </c>
      <c r="DC29" s="6">
        <v>7.46</v>
      </c>
      <c r="DD29" s="6">
        <v>8.15</v>
      </c>
      <c r="DE29" s="6">
        <v>20.61</v>
      </c>
      <c r="DF29" s="6">
        <v>0</v>
      </c>
      <c r="DG29" s="6">
        <v>29.07</v>
      </c>
      <c r="DH29" s="6">
        <v>15.54</v>
      </c>
      <c r="DI29" s="6">
        <v>0</v>
      </c>
      <c r="DJ29" s="6">
        <v>0</v>
      </c>
      <c r="DK29" s="6">
        <v>14.98</v>
      </c>
      <c r="DL29" s="6">
        <v>0</v>
      </c>
      <c r="DM29" s="6">
        <v>2.26</v>
      </c>
      <c r="DN29" s="6">
        <v>0.63</v>
      </c>
      <c r="DO29" s="6">
        <v>0</v>
      </c>
      <c r="DP29" s="6">
        <v>23.7022</v>
      </c>
      <c r="DQ29" t="s">
        <v>422</v>
      </c>
      <c r="DR29" t="s">
        <v>423</v>
      </c>
      <c r="DS29" s="59">
        <v>1</v>
      </c>
      <c r="DT29">
        <v>1</v>
      </c>
      <c r="DU29">
        <f t="shared" si="14"/>
        <v>1</v>
      </c>
      <c r="DV29">
        <f t="shared" si="15"/>
        <v>0</v>
      </c>
      <c r="DW29">
        <f t="shared" si="16"/>
        <v>0</v>
      </c>
      <c r="DX29">
        <f t="shared" si="17"/>
        <v>1.4877209200000001</v>
      </c>
      <c r="DY29" s="59">
        <f t="shared" si="18"/>
        <v>2139.805128749162</v>
      </c>
      <c r="DZ29">
        <f t="shared" si="20"/>
        <v>2139.805128749162</v>
      </c>
      <c r="EA29">
        <f t="shared" si="21"/>
        <v>24985.26398591265</v>
      </c>
      <c r="EB29">
        <f t="shared" si="22"/>
        <v>493251.5195399558</v>
      </c>
      <c r="EC29">
        <f t="shared" si="23"/>
        <v>37155.20797514594</v>
      </c>
      <c r="ED29" s="7">
        <f t="shared" si="19"/>
        <v>16.47919164051953</v>
      </c>
      <c r="EE29">
        <f t="shared" si="24"/>
        <v>0</v>
      </c>
      <c r="EF29">
        <f t="shared" si="25"/>
        <v>0</v>
      </c>
      <c r="EG29">
        <f t="shared" si="26"/>
        <v>0</v>
      </c>
      <c r="EH29">
        <f t="shared" si="27"/>
        <v>0</v>
      </c>
      <c r="EI29">
        <f t="shared" si="28"/>
        <v>2139.805128749162</v>
      </c>
      <c r="EJ29">
        <f t="shared" si="29"/>
        <v>24985.26398591265</v>
      </c>
      <c r="EK29">
        <f t="shared" si="30"/>
        <v>493251.5195399558</v>
      </c>
      <c r="EL29">
        <f t="shared" si="31"/>
        <v>37155.20797514594</v>
      </c>
    </row>
    <row r="30" spans="1:142" ht="12.75">
      <c r="A30" s="69" t="s">
        <v>482</v>
      </c>
      <c r="B30" t="s">
        <v>195</v>
      </c>
      <c r="C30" s="7">
        <v>15.347421767122427</v>
      </c>
      <c r="D30" s="7">
        <v>11.14059132687394</v>
      </c>
      <c r="E30" s="7">
        <v>4.615801436976543</v>
      </c>
      <c r="F30" s="7">
        <v>5.359646614027125</v>
      </c>
      <c r="G30" s="7">
        <v>4.987724025501834</v>
      </c>
      <c r="H30" s="7">
        <v>6.647463473804729</v>
      </c>
      <c r="I30" s="7">
        <v>17.389472510186593</v>
      </c>
      <c r="J30" s="7">
        <v>12.018467991995664</v>
      </c>
      <c r="K30" s="7">
        <v>0.6010899791373743</v>
      </c>
      <c r="L30" s="7">
        <v>0.8545040381857639</v>
      </c>
      <c r="M30" s="7">
        <v>0.7277970086615692</v>
      </c>
      <c r="N30" s="7">
        <v>1.394394701521898</v>
      </c>
      <c r="O30" s="7">
        <v>4.269699723579049</v>
      </c>
      <c r="P30" s="7">
        <v>2.8320472125504734</v>
      </c>
      <c r="Q30" s="7">
        <v>0.06563380724928183</v>
      </c>
      <c r="R30" s="7">
        <v>0.11571079131651515</v>
      </c>
      <c r="S30" s="7">
        <v>0.09067207513759976</v>
      </c>
      <c r="T30" s="7">
        <v>4.832731692373337</v>
      </c>
      <c r="U30" s="7">
        <v>9.61397544800526</v>
      </c>
      <c r="V30" s="7">
        <v>7.223353570189297</v>
      </c>
      <c r="W30" s="7">
        <v>6.408351485332248</v>
      </c>
      <c r="X30" s="7">
        <v>16.37581197269674</v>
      </c>
      <c r="Y30" s="7">
        <v>11.392084219600957</v>
      </c>
      <c r="Z30" s="7">
        <v>4.634585091103867</v>
      </c>
      <c r="AA30" s="7">
        <v>5.440745634697737</v>
      </c>
      <c r="AB30" s="7">
        <v>5.037666259626717</v>
      </c>
      <c r="AC30" s="7">
        <v>7.0569857152081426</v>
      </c>
      <c r="AD30" s="7">
        <v>17.21407381804885</v>
      </c>
      <c r="AE30" s="7">
        <v>12.135529990773797</v>
      </c>
      <c r="AF30" s="7">
        <v>0.6417372513053536</v>
      </c>
      <c r="AG30" s="7">
        <v>0.9131731559906572</v>
      </c>
      <c r="AH30" s="7">
        <v>0.7774560106657883</v>
      </c>
      <c r="AI30" s="7">
        <v>1.3669369024261024</v>
      </c>
      <c r="AJ30" s="7">
        <v>4.191248869019633</v>
      </c>
      <c r="AK30" s="7">
        <v>2.779092885722868</v>
      </c>
      <c r="AL30" s="7">
        <v>0.04146453600893247</v>
      </c>
      <c r="AM30" s="7">
        <v>0.08705070886894917</v>
      </c>
      <c r="AN30" s="7">
        <v>0.06426090934928523</v>
      </c>
      <c r="AO30" s="7">
        <v>3.009822677918092</v>
      </c>
      <c r="AP30" s="7">
        <v>8.477366063461357</v>
      </c>
      <c r="AQ30" s="7">
        <v>5.743590983377346</v>
      </c>
      <c r="AR30" s="7">
        <v>1.1194743553325248</v>
      </c>
      <c r="AS30" s="7">
        <v>3.9966257518144896</v>
      </c>
      <c r="AT30" s="7">
        <v>2.558049829428209</v>
      </c>
      <c r="AU30" s="7">
        <v>4.729033355372317</v>
      </c>
      <c r="AV30" s="7">
        <v>5.5333281225074655</v>
      </c>
      <c r="AW30" s="7">
        <v>5.13118073893989</v>
      </c>
      <c r="AX30" s="7">
        <v>1.9552281942049887</v>
      </c>
      <c r="AY30" s="7">
        <v>6.291563760039912</v>
      </c>
      <c r="AZ30" s="7">
        <v>4.123397589810069</v>
      </c>
      <c r="BA30" s="7">
        <v>1.013216903467584</v>
      </c>
      <c r="BB30" s="7">
        <v>1.3061482168419027</v>
      </c>
      <c r="BC30" s="7">
        <v>1.1596825601547434</v>
      </c>
      <c r="BD30" s="7">
        <v>1.0632789556667757</v>
      </c>
      <c r="BE30" s="7">
        <v>3.2905791341705655</v>
      </c>
      <c r="BF30" s="7">
        <v>2.1769290449186705</v>
      </c>
      <c r="BG30" s="7">
        <v>0.014134818376433784</v>
      </c>
      <c r="BH30" s="7">
        <v>0.04268503684244774</v>
      </c>
      <c r="BI30" s="7">
        <v>0.02841015175473951</v>
      </c>
      <c r="BJ30" s="7">
        <v>0.331365954581761</v>
      </c>
      <c r="BK30" s="7">
        <v>2.029543578312728</v>
      </c>
      <c r="BL30" s="7">
        <v>1.180453153759625</v>
      </c>
      <c r="BM30" s="56">
        <v>28353.308903949408</v>
      </c>
      <c r="BN30" s="56">
        <v>45886.38412486316</v>
      </c>
      <c r="BO30" s="56">
        <v>37119.84651440629</v>
      </c>
      <c r="BP30" s="56">
        <v>44236.156896856024</v>
      </c>
      <c r="BQ30" s="56">
        <v>124998.15198774337</v>
      </c>
      <c r="BR30" s="56">
        <v>84617.15444170749</v>
      </c>
      <c r="BS30" s="7">
        <f t="shared" si="0"/>
        <v>8.90726463063268</v>
      </c>
      <c r="BT30" s="56">
        <v>26847279.603774905</v>
      </c>
      <c r="BU30" s="8">
        <v>146815175.058</v>
      </c>
      <c r="BV30" s="57">
        <f t="shared" si="32"/>
        <v>18.286447292092774</v>
      </c>
      <c r="BW30">
        <v>15388003.572284397</v>
      </c>
      <c r="BX30">
        <v>0</v>
      </c>
      <c r="BY30">
        <v>3755456.8929861</v>
      </c>
      <c r="BZ30">
        <v>1450595.0614669998</v>
      </c>
      <c r="CA30">
        <v>0</v>
      </c>
      <c r="CB30">
        <v>43874.4318029</v>
      </c>
      <c r="CC30">
        <v>7505848.275300612</v>
      </c>
      <c r="CD30">
        <v>2458958.2629199997</v>
      </c>
      <c r="CE30" s="7">
        <v>57.3168075104367</v>
      </c>
      <c r="CF30" s="7">
        <v>0</v>
      </c>
      <c r="CG30" s="7">
        <v>13.988221333449582</v>
      </c>
      <c r="CH30" s="7">
        <v>5.403136119843728</v>
      </c>
      <c r="CI30" s="7">
        <v>0</v>
      </c>
      <c r="CJ30" s="7">
        <v>0.16342226270378235</v>
      </c>
      <c r="CK30" s="7">
        <v>27.957574793705504</v>
      </c>
      <c r="CL30" s="7">
        <v>9.15905931331029</v>
      </c>
      <c r="CM30" s="7">
        <v>0</v>
      </c>
      <c r="CN30" s="56">
        <f t="shared" si="2"/>
        <v>4162696.0102068824</v>
      </c>
      <c r="CO30" s="56">
        <f t="shared" si="3"/>
        <v>67368175.18070418</v>
      </c>
      <c r="CP30" s="56">
        <f t="shared" si="4"/>
        <v>5449756.76413865</v>
      </c>
      <c r="CQ30" s="6">
        <f t="shared" si="5"/>
        <v>2.121990192240172</v>
      </c>
      <c r="CR30" s="6">
        <f t="shared" si="6"/>
        <v>4.502187392871708</v>
      </c>
      <c r="CS30" s="6">
        <f t="shared" si="7"/>
        <v>3.3121703681477905</v>
      </c>
      <c r="CT30" s="58">
        <f t="shared" si="8"/>
        <v>7915151.462019815</v>
      </c>
      <c r="CU30" s="58">
        <f t="shared" si="9"/>
        <v>16793430.64604625</v>
      </c>
      <c r="CV30" s="58">
        <f t="shared" si="10"/>
        <v>12354595.335913064</v>
      </c>
      <c r="CW30">
        <f t="shared" si="11"/>
        <v>6494539118.705071</v>
      </c>
      <c r="CX30">
        <f t="shared" si="12"/>
        <v>18351625566.007034</v>
      </c>
      <c r="CY30">
        <f t="shared" si="13"/>
        <v>12423082342.269108</v>
      </c>
      <c r="CZ30" s="59">
        <v>1545.26</v>
      </c>
      <c r="DA30" s="59">
        <v>77.5</v>
      </c>
      <c r="DB30" s="6">
        <v>2.63</v>
      </c>
      <c r="DC30" s="6">
        <v>5.28</v>
      </c>
      <c r="DD30" s="6">
        <v>0.63</v>
      </c>
      <c r="DE30" s="6">
        <v>2.66</v>
      </c>
      <c r="DF30" s="6">
        <v>0.16</v>
      </c>
      <c r="DG30" s="6">
        <v>63.87</v>
      </c>
      <c r="DH30" s="6">
        <v>1.23</v>
      </c>
      <c r="DI30" s="6">
        <v>6.03</v>
      </c>
      <c r="DJ30" s="6">
        <v>0.32</v>
      </c>
      <c r="DK30" s="6">
        <v>2.65</v>
      </c>
      <c r="DL30" s="6">
        <v>13.91</v>
      </c>
      <c r="DM30" s="6">
        <v>0.22</v>
      </c>
      <c r="DN30" s="6">
        <v>0.12</v>
      </c>
      <c r="DO30" s="6">
        <v>0.29</v>
      </c>
      <c r="DP30" s="6">
        <v>0</v>
      </c>
      <c r="DQ30" t="s">
        <v>441</v>
      </c>
      <c r="DR30" t="s">
        <v>467</v>
      </c>
      <c r="DS30" s="59">
        <v>0</v>
      </c>
      <c r="DT30">
        <v>2</v>
      </c>
      <c r="DU30">
        <f t="shared" si="14"/>
        <v>0</v>
      </c>
      <c r="DV30">
        <f t="shared" si="15"/>
        <v>0</v>
      </c>
      <c r="DW30">
        <f t="shared" si="16"/>
        <v>0</v>
      </c>
      <c r="DX30">
        <f t="shared" si="17"/>
        <v>0.6746544000000001</v>
      </c>
      <c r="DY30" s="59">
        <f t="shared" si="18"/>
        <v>99049.50383964997</v>
      </c>
      <c r="DZ30">
        <f t="shared" si="20"/>
        <v>0</v>
      </c>
      <c r="EA30">
        <f t="shared" si="21"/>
        <v>0</v>
      </c>
      <c r="EB30">
        <f t="shared" si="22"/>
        <v>0</v>
      </c>
      <c r="EC30">
        <f t="shared" si="23"/>
        <v>0</v>
      </c>
      <c r="ED30" s="7">
        <f t="shared" si="19"/>
        <v>0</v>
      </c>
      <c r="EE30">
        <f t="shared" si="24"/>
        <v>0</v>
      </c>
      <c r="EF30">
        <f t="shared" si="25"/>
        <v>0</v>
      </c>
      <c r="EG30">
        <f t="shared" si="26"/>
        <v>0</v>
      </c>
      <c r="EH30">
        <f t="shared" si="27"/>
        <v>0</v>
      </c>
      <c r="EI30">
        <f t="shared" si="28"/>
        <v>0</v>
      </c>
      <c r="EJ30">
        <f t="shared" si="29"/>
        <v>0</v>
      </c>
      <c r="EK30">
        <f t="shared" si="30"/>
        <v>0</v>
      </c>
      <c r="EL30">
        <f t="shared" si="31"/>
        <v>0</v>
      </c>
    </row>
    <row r="31" spans="1:142" ht="12.75">
      <c r="A31" s="55" t="s">
        <v>483</v>
      </c>
      <c r="B31" t="s">
        <v>484</v>
      </c>
      <c r="C31" s="7">
        <v>12.43344590413101</v>
      </c>
      <c r="D31" s="7">
        <v>8.917274389062761</v>
      </c>
      <c r="E31" s="7">
        <v>5.1372377739459285</v>
      </c>
      <c r="F31" s="7">
        <v>6.82746072616123</v>
      </c>
      <c r="G31" s="7">
        <v>5.98234925005358</v>
      </c>
      <c r="H31" s="7">
        <v>1.9770422118290667</v>
      </c>
      <c r="I31" s="7">
        <v>8.181024346179782</v>
      </c>
      <c r="J31" s="7">
        <v>5.079033279004425</v>
      </c>
      <c r="K31" s="7">
        <v>1.2380950203775776</v>
      </c>
      <c r="L31" s="7">
        <v>1.5188588541957606</v>
      </c>
      <c r="M31" s="7">
        <v>1.3784769372866688</v>
      </c>
      <c r="N31" s="7">
        <v>4.706737652599109</v>
      </c>
      <c r="O31" s="7">
        <v>15.572912960781677</v>
      </c>
      <c r="P31" s="7">
        <v>10.139825306690394</v>
      </c>
      <c r="Q31" s="7">
        <v>0.05149824711952953</v>
      </c>
      <c r="R31" s="7">
        <v>0.08456150368923052</v>
      </c>
      <c r="S31" s="7">
        <v>0.06802987540438005</v>
      </c>
      <c r="T31" s="7">
        <v>1.5763831736404945</v>
      </c>
      <c r="U31" s="7">
        <v>4.280872918368646</v>
      </c>
      <c r="V31" s="7">
        <v>2.92862804600457</v>
      </c>
      <c r="W31" s="7">
        <v>3.990593323516836</v>
      </c>
      <c r="X31" s="7">
        <v>10.334601788497249</v>
      </c>
      <c r="Y31" s="7">
        <v>7.162597137126416</v>
      </c>
      <c r="Z31" s="7">
        <v>5.1562014215666565</v>
      </c>
      <c r="AA31" s="7">
        <v>6.854892632361429</v>
      </c>
      <c r="AB31" s="7">
        <v>6.00554708279896</v>
      </c>
      <c r="AC31" s="7">
        <v>1.4829602269898259</v>
      </c>
      <c r="AD31" s="7">
        <v>7.8415526486246705</v>
      </c>
      <c r="AE31" s="7">
        <v>4.662256249013089</v>
      </c>
      <c r="AF31" s="7">
        <v>1.2977990283959868</v>
      </c>
      <c r="AG31" s="7">
        <v>1.5734274188261637</v>
      </c>
      <c r="AH31" s="7">
        <v>1.4356134137836054</v>
      </c>
      <c r="AI31" s="7">
        <v>5.736988627642257</v>
      </c>
      <c r="AJ31" s="7">
        <v>20.36050324635699</v>
      </c>
      <c r="AK31" s="7">
        <v>13.04874593699962</v>
      </c>
      <c r="AL31" s="7">
        <v>0.04812898506863264</v>
      </c>
      <c r="AM31" s="7">
        <v>0.07847591825547974</v>
      </c>
      <c r="AN31" s="7">
        <v>0.06330231870281287</v>
      </c>
      <c r="AO31" s="7">
        <v>1.293072701249984</v>
      </c>
      <c r="AP31" s="7">
        <v>2.917036662988191</v>
      </c>
      <c r="AQ31" s="7">
        <v>2.105055016618303</v>
      </c>
      <c r="AR31" s="7">
        <v>1.7939510911480674</v>
      </c>
      <c r="AS31" s="7">
        <v>6.762045210403917</v>
      </c>
      <c r="AT31" s="7">
        <v>4.277998150775994</v>
      </c>
      <c r="AU31" s="7">
        <v>5.213092364428834</v>
      </c>
      <c r="AV31" s="7">
        <v>6.9178323951631375</v>
      </c>
      <c r="AW31" s="7">
        <v>6.065462379795987</v>
      </c>
      <c r="AX31" s="7">
        <v>1.0283237767774664</v>
      </c>
      <c r="AY31" s="7">
        <v>7.683100718029067</v>
      </c>
      <c r="AZ31" s="7">
        <v>4.355712247403267</v>
      </c>
      <c r="BA31" s="7">
        <v>1.353086093280318</v>
      </c>
      <c r="BB31" s="7">
        <v>1.625521217950653</v>
      </c>
      <c r="BC31" s="7">
        <v>1.4893036556154855</v>
      </c>
      <c r="BD31" s="7">
        <v>7.45249639904004</v>
      </c>
      <c r="BE31" s="7">
        <v>29.89862736232722</v>
      </c>
      <c r="BF31" s="7">
        <v>18.67556188068363</v>
      </c>
      <c r="BG31" s="7">
        <v>0.0464863249399215</v>
      </c>
      <c r="BH31" s="7">
        <v>0.06839551924362494</v>
      </c>
      <c r="BI31" s="7">
        <v>0.05744092209177323</v>
      </c>
      <c r="BJ31" s="7">
        <v>0.6140798272474227</v>
      </c>
      <c r="BK31" s="7">
        <v>1.2894760057353205</v>
      </c>
      <c r="BL31" s="7">
        <v>0.9517779164913717</v>
      </c>
      <c r="BM31" s="56">
        <v>17954.694869057894</v>
      </c>
      <c r="BN31" s="56">
        <v>35085.388103360194</v>
      </c>
      <c r="BO31" s="56">
        <v>26520.041486439128</v>
      </c>
      <c r="BP31" s="56">
        <v>52623.6608423142</v>
      </c>
      <c r="BQ31" s="56">
        <v>164965.7277019952</v>
      </c>
      <c r="BR31" s="56">
        <v>108794.69427193326</v>
      </c>
      <c r="BS31" s="7">
        <f t="shared" si="0"/>
        <v>4.622994054367427</v>
      </c>
      <c r="BT31" s="56">
        <v>13067732.518484427</v>
      </c>
      <c r="BU31" s="8">
        <v>13072899.5325</v>
      </c>
      <c r="BV31" s="57">
        <f t="shared" si="32"/>
        <v>99.96047537883445</v>
      </c>
      <c r="BW31">
        <v>0</v>
      </c>
      <c r="BX31">
        <v>285723.275699</v>
      </c>
      <c r="BY31">
        <v>10225765.674466327</v>
      </c>
      <c r="BZ31">
        <v>2475653.926231809</v>
      </c>
      <c r="CA31">
        <v>70469.238277319</v>
      </c>
      <c r="CB31">
        <v>157814.24058897002</v>
      </c>
      <c r="CC31">
        <v>0</v>
      </c>
      <c r="CD31">
        <v>0</v>
      </c>
      <c r="CE31" s="7">
        <v>0</v>
      </c>
      <c r="CF31" s="7">
        <v>2.1864793704251433</v>
      </c>
      <c r="CG31" s="7">
        <v>78.25202773321148</v>
      </c>
      <c r="CH31" s="7">
        <v>18.94478573639286</v>
      </c>
      <c r="CI31" s="7">
        <v>0.5392614072689322</v>
      </c>
      <c r="CJ31" s="7">
        <v>1.2076635358562806</v>
      </c>
      <c r="CK31" s="7">
        <v>0</v>
      </c>
      <c r="CL31" s="7">
        <v>0</v>
      </c>
      <c r="CM31" s="7">
        <v>4.362545127597549</v>
      </c>
      <c r="CN31" s="56">
        <f t="shared" si="2"/>
        <v>234719.92215988712</v>
      </c>
      <c r="CO31" s="56">
        <f t="shared" si="3"/>
        <v>4586677.537339985</v>
      </c>
      <c r="CP31" s="56">
        <f t="shared" si="4"/>
        <v>346693.83794995066</v>
      </c>
      <c r="CQ31" s="6">
        <f t="shared" si="5"/>
        <v>2.8887464056396537</v>
      </c>
      <c r="CR31" s="6">
        <f t="shared" si="6"/>
        <v>4.539652544249279</v>
      </c>
      <c r="CS31" s="6">
        <f t="shared" si="7"/>
        <v>3.714196283922627</v>
      </c>
      <c r="CT31" s="58">
        <f t="shared" si="8"/>
        <v>959458.6264176242</v>
      </c>
      <c r="CU31" s="58">
        <f t="shared" si="9"/>
        <v>1507785.102221261</v>
      </c>
      <c r="CV31" s="58">
        <f t="shared" si="10"/>
        <v>1233620.8044640587</v>
      </c>
      <c r="CW31">
        <f t="shared" si="11"/>
        <v>687943831.223928</v>
      </c>
      <c r="CX31">
        <f t="shared" si="12"/>
        <v>2156580384.5539355</v>
      </c>
      <c r="CY31">
        <f t="shared" si="13"/>
        <v>1422262107.8860369</v>
      </c>
      <c r="CZ31" s="59">
        <v>112.767</v>
      </c>
      <c r="DA31" s="59">
        <v>9.51492</v>
      </c>
      <c r="DB31" s="6">
        <v>0.84</v>
      </c>
      <c r="DC31" s="6">
        <v>7.41</v>
      </c>
      <c r="DD31" s="6">
        <v>6.43</v>
      </c>
      <c r="DE31" s="68">
        <v>29.54</v>
      </c>
      <c r="DF31" s="68">
        <v>0</v>
      </c>
      <c r="DG31" s="68">
        <v>14.54</v>
      </c>
      <c r="DH31" s="68">
        <v>27.65</v>
      </c>
      <c r="DI31" s="68">
        <v>0</v>
      </c>
      <c r="DJ31" s="68">
        <v>0.32</v>
      </c>
      <c r="DK31" s="68">
        <v>9.11</v>
      </c>
      <c r="DL31" s="68">
        <v>0</v>
      </c>
      <c r="DM31" s="68">
        <v>3.57</v>
      </c>
      <c r="DN31" s="68">
        <v>0.59</v>
      </c>
      <c r="DO31" s="68">
        <v>0</v>
      </c>
      <c r="DP31" s="6">
        <v>803.044</v>
      </c>
      <c r="DQ31" t="s">
        <v>426</v>
      </c>
      <c r="DR31" t="s">
        <v>290</v>
      </c>
      <c r="DS31" s="59">
        <v>1</v>
      </c>
      <c r="DT31">
        <v>1</v>
      </c>
      <c r="DU31">
        <f t="shared" si="14"/>
        <v>1</v>
      </c>
      <c r="DV31">
        <f t="shared" si="15"/>
        <v>0</v>
      </c>
      <c r="DW31">
        <f t="shared" si="16"/>
        <v>0</v>
      </c>
      <c r="DX31">
        <f t="shared" si="17"/>
        <v>1.47685048</v>
      </c>
      <c r="DY31" s="59">
        <f t="shared" si="18"/>
        <v>19306.7179495644</v>
      </c>
      <c r="DZ31">
        <f t="shared" si="20"/>
        <v>19306.7179495644</v>
      </c>
      <c r="EA31">
        <f t="shared" si="21"/>
        <v>234719.92215988712</v>
      </c>
      <c r="EB31">
        <f t="shared" si="22"/>
        <v>4586677.537339985</v>
      </c>
      <c r="EC31">
        <f t="shared" si="23"/>
        <v>346693.83794995066</v>
      </c>
      <c r="ED31" s="7">
        <f t="shared" si="19"/>
        <v>61.428147443769845</v>
      </c>
      <c r="EE31">
        <f t="shared" si="24"/>
        <v>0</v>
      </c>
      <c r="EF31">
        <f t="shared" si="25"/>
        <v>0</v>
      </c>
      <c r="EG31">
        <f t="shared" si="26"/>
        <v>0</v>
      </c>
      <c r="EH31">
        <f t="shared" si="27"/>
        <v>0</v>
      </c>
      <c r="EI31">
        <f t="shared" si="28"/>
        <v>19306.7179495644</v>
      </c>
      <c r="EJ31">
        <f t="shared" si="29"/>
        <v>234719.92215988712</v>
      </c>
      <c r="EK31">
        <f t="shared" si="30"/>
        <v>4586677.537339985</v>
      </c>
      <c r="EL31">
        <f t="shared" si="31"/>
        <v>346693.83794995066</v>
      </c>
    </row>
    <row r="32" spans="1:142" ht="12.75">
      <c r="A32" s="55" t="s">
        <v>485</v>
      </c>
      <c r="B32" t="s">
        <v>486</v>
      </c>
      <c r="C32" s="7">
        <v>59.237237421507274</v>
      </c>
      <c r="D32" s="7">
        <v>47.41494829211361</v>
      </c>
      <c r="E32" s="7">
        <v>5.0890744907066745</v>
      </c>
      <c r="F32" s="7">
        <v>5.701746662925715</v>
      </c>
      <c r="G32" s="7">
        <v>5.395410576816195</v>
      </c>
      <c r="H32" s="7">
        <v>6.46166796424105</v>
      </c>
      <c r="I32" s="7">
        <v>16.3292845557272</v>
      </c>
      <c r="J32" s="7">
        <v>11.395476259984127</v>
      </c>
      <c r="K32" s="7">
        <v>0.8014761178382165</v>
      </c>
      <c r="L32" s="7">
        <v>1.0648778337982452</v>
      </c>
      <c r="M32" s="7">
        <v>0.9331769758182306</v>
      </c>
      <c r="N32" s="7">
        <v>3.234835363006181</v>
      </c>
      <c r="O32" s="7">
        <v>13.091716362136834</v>
      </c>
      <c r="P32" s="7">
        <v>8.163275862571508</v>
      </c>
      <c r="Q32" s="7">
        <v>0.12008435214701078</v>
      </c>
      <c r="R32" s="7">
        <v>0.1722295129895794</v>
      </c>
      <c r="S32" s="7">
        <v>0.14615693256829507</v>
      </c>
      <c r="T32" s="7">
        <v>11.551225777096203</v>
      </c>
      <c r="U32" s="7">
        <v>16.701860854747885</v>
      </c>
      <c r="V32" s="7">
        <v>14.12654331592205</v>
      </c>
      <c r="W32" s="7">
        <v>27.294834115985275</v>
      </c>
      <c r="X32" s="7">
        <v>44.699294535083446</v>
      </c>
      <c r="Y32" s="7">
        <v>35.99706462463339</v>
      </c>
      <c r="Z32" s="7">
        <v>5.222762943344012</v>
      </c>
      <c r="AA32" s="7">
        <v>5.833807316658386</v>
      </c>
      <c r="AB32" s="7">
        <v>5.528285081168208</v>
      </c>
      <c r="AC32" s="7">
        <v>6.043263463387876</v>
      </c>
      <c r="AD32" s="7">
        <v>15.992509208043456</v>
      </c>
      <c r="AE32" s="7">
        <v>11.017886260365728</v>
      </c>
      <c r="AF32" s="7">
        <v>1.0346728399153615</v>
      </c>
      <c r="AG32" s="7">
        <v>1.3153019547329092</v>
      </c>
      <c r="AH32" s="7">
        <v>1.1749873973241352</v>
      </c>
      <c r="AI32" s="7">
        <v>2.6341383422730367</v>
      </c>
      <c r="AJ32" s="7">
        <v>11.445289629208743</v>
      </c>
      <c r="AK32" s="7">
        <v>7.039713985740889</v>
      </c>
      <c r="AL32" s="7">
        <v>0.11682895399599987</v>
      </c>
      <c r="AM32" s="7">
        <v>0.1678822600084695</v>
      </c>
      <c r="AN32" s="7">
        <v>0.14235560700223468</v>
      </c>
      <c r="AO32" s="7">
        <v>6.616997392030422</v>
      </c>
      <c r="AP32" s="7">
        <v>10.639520125370417</v>
      </c>
      <c r="AQ32" s="7">
        <v>8.628258459601387</v>
      </c>
      <c r="AR32" s="7">
        <v>27.765824721362417</v>
      </c>
      <c r="AS32" s="7">
        <v>41.12923238772436</v>
      </c>
      <c r="AT32" s="7">
        <v>34.44752855454338</v>
      </c>
      <c r="AU32" s="7">
        <v>5.35807909722003</v>
      </c>
      <c r="AV32" s="7">
        <v>5.947418083724765</v>
      </c>
      <c r="AW32" s="7">
        <v>5.652748590472397</v>
      </c>
      <c r="AX32" s="7">
        <v>5.532609529203242</v>
      </c>
      <c r="AY32" s="7">
        <v>15.735424869695947</v>
      </c>
      <c r="AZ32" s="7">
        <v>10.634017199449596</v>
      </c>
      <c r="BA32" s="7">
        <v>1.2793307533900353</v>
      </c>
      <c r="BB32" s="7">
        <v>1.5797918432088047</v>
      </c>
      <c r="BC32" s="7">
        <v>1.4295612982994197</v>
      </c>
      <c r="BD32" s="7">
        <v>2.0791944302735</v>
      </c>
      <c r="BE32" s="7">
        <v>10.059807880471721</v>
      </c>
      <c r="BF32" s="7">
        <v>6.0695011553726115</v>
      </c>
      <c r="BG32" s="7">
        <v>0.1110277772689645</v>
      </c>
      <c r="BH32" s="7">
        <v>0.1603116007360579</v>
      </c>
      <c r="BI32" s="7">
        <v>0.1356696890025112</v>
      </c>
      <c r="BJ32" s="7">
        <v>6.127723217062761</v>
      </c>
      <c r="BK32" s="7">
        <v>9.995738967959266</v>
      </c>
      <c r="BL32" s="7">
        <v>8.061731092511012</v>
      </c>
      <c r="BM32" s="56">
        <v>74718.9394971757</v>
      </c>
      <c r="BN32" s="56">
        <v>60718.61568433993</v>
      </c>
      <c r="BO32" s="56">
        <v>67718.7775907578</v>
      </c>
      <c r="BP32" s="56">
        <v>443170.8184161071</v>
      </c>
      <c r="BQ32" s="56">
        <v>696912.7564973831</v>
      </c>
      <c r="BR32" s="56">
        <v>570041.7874567452</v>
      </c>
      <c r="BS32" s="7">
        <f t="shared" si="0"/>
        <v>10.939856635922956</v>
      </c>
      <c r="BT32" s="56">
        <v>4120082.6993360505</v>
      </c>
      <c r="BU32" s="8">
        <v>4121700</v>
      </c>
      <c r="BV32" s="57">
        <f t="shared" si="32"/>
        <v>99.96076132023317</v>
      </c>
      <c r="BW32">
        <v>152030.117717</v>
      </c>
      <c r="BX32">
        <v>903664.1736363999</v>
      </c>
      <c r="BY32">
        <v>0</v>
      </c>
      <c r="BZ32">
        <v>2250923.1391026503</v>
      </c>
      <c r="CA32">
        <v>965495.3865970001</v>
      </c>
      <c r="CB32">
        <v>689544.4581158</v>
      </c>
      <c r="CC32">
        <v>0</v>
      </c>
      <c r="CD32">
        <v>0</v>
      </c>
      <c r="CE32" s="7">
        <v>3.6899773332583727</v>
      </c>
      <c r="CF32" s="7">
        <v>21.93315619082173</v>
      </c>
      <c r="CG32" s="7">
        <v>0</v>
      </c>
      <c r="CH32" s="7">
        <v>54.63296014580934</v>
      </c>
      <c r="CI32" s="7">
        <v>23.433883663368924</v>
      </c>
      <c r="CJ32" s="7">
        <v>16.73618003412698</v>
      </c>
      <c r="CK32" s="7">
        <v>0</v>
      </c>
      <c r="CL32" s="7">
        <v>0</v>
      </c>
      <c r="CM32" s="7">
        <v>28.63085982006367</v>
      </c>
      <c r="CN32" s="56">
        <f t="shared" si="2"/>
        <v>307969.0529255091</v>
      </c>
      <c r="CO32" s="56">
        <f t="shared" si="3"/>
        <v>2502639.182661439</v>
      </c>
      <c r="CP32" s="56">
        <f t="shared" si="4"/>
        <v>279116.4855958264</v>
      </c>
      <c r="CQ32" s="6">
        <f t="shared" si="5"/>
        <v>6.909573776123274</v>
      </c>
      <c r="CR32" s="6">
        <f t="shared" si="6"/>
        <v>9.94340681374361</v>
      </c>
      <c r="CS32" s="6">
        <f t="shared" si="7"/>
        <v>8.42649029493344</v>
      </c>
      <c r="CT32" s="58">
        <f t="shared" si="8"/>
        <v>723556.6624249822</v>
      </c>
      <c r="CU32" s="58">
        <f t="shared" si="9"/>
        <v>1041253.5534605447</v>
      </c>
      <c r="CV32" s="58">
        <f t="shared" si="10"/>
        <v>882405.1079427633</v>
      </c>
      <c r="CW32">
        <f t="shared" si="11"/>
        <v>1826617162.2656686</v>
      </c>
      <c r="CX32">
        <f t="shared" si="12"/>
        <v>2872465308.455264</v>
      </c>
      <c r="CY32">
        <f t="shared" si="13"/>
        <v>2349541235.3604665</v>
      </c>
      <c r="CZ32" s="59">
        <v>67.5094</v>
      </c>
      <c r="DA32" s="59">
        <v>11.586</v>
      </c>
      <c r="DB32" s="6">
        <v>0.26202780406143095</v>
      </c>
      <c r="DC32" s="6">
        <v>16.15838125045491</v>
      </c>
      <c r="DD32" s="6">
        <v>5.022199577844093</v>
      </c>
      <c r="DE32" s="68">
        <v>49.61059756896426</v>
      </c>
      <c r="DF32" s="68">
        <v>0</v>
      </c>
      <c r="DG32" s="68">
        <v>0.19652085304607322</v>
      </c>
      <c r="DH32" s="68">
        <v>1.2664677196302496</v>
      </c>
      <c r="DI32" s="68">
        <v>0</v>
      </c>
      <c r="DJ32" s="68">
        <v>0.04367130067690516</v>
      </c>
      <c r="DK32" s="68">
        <v>27.0762064196812</v>
      </c>
      <c r="DL32" s="68">
        <v>0</v>
      </c>
      <c r="DM32" s="68">
        <v>0.37120605575369386</v>
      </c>
      <c r="DN32" s="68">
        <v>0</v>
      </c>
      <c r="DO32" s="68">
        <v>0</v>
      </c>
      <c r="DP32" s="64">
        <v>8.832229061860856</v>
      </c>
      <c r="DQ32" t="s">
        <v>467</v>
      </c>
      <c r="DR32" t="s">
        <v>467</v>
      </c>
      <c r="DS32" s="59">
        <v>1</v>
      </c>
      <c r="DT32">
        <v>1</v>
      </c>
      <c r="DU32">
        <f t="shared" si="14"/>
        <v>1</v>
      </c>
      <c r="DV32">
        <f t="shared" si="15"/>
        <v>0</v>
      </c>
      <c r="DW32">
        <f t="shared" si="16"/>
        <v>0</v>
      </c>
      <c r="DX32">
        <f t="shared" si="17"/>
        <v>1.502194736</v>
      </c>
      <c r="DY32" s="59">
        <f t="shared" si="18"/>
        <v>6191.596043371201</v>
      </c>
      <c r="DZ32">
        <f t="shared" si="20"/>
        <v>6191.596043371201</v>
      </c>
      <c r="EA32">
        <f t="shared" si="21"/>
        <v>307969.0529255091</v>
      </c>
      <c r="EB32">
        <f t="shared" si="22"/>
        <v>2502639.182661439</v>
      </c>
      <c r="EC32">
        <f t="shared" si="23"/>
        <v>279116.4855958264</v>
      </c>
      <c r="ED32" s="7">
        <f t="shared" si="19"/>
        <v>2.1428607278212524</v>
      </c>
      <c r="EE32">
        <f t="shared" si="24"/>
        <v>0</v>
      </c>
      <c r="EF32">
        <f t="shared" si="25"/>
        <v>0</v>
      </c>
      <c r="EG32">
        <f t="shared" si="26"/>
        <v>0</v>
      </c>
      <c r="EH32">
        <f t="shared" si="27"/>
        <v>0</v>
      </c>
      <c r="EI32">
        <f t="shared" si="28"/>
        <v>6191.596043371201</v>
      </c>
      <c r="EJ32">
        <f t="shared" si="29"/>
        <v>307969.0529255091</v>
      </c>
      <c r="EK32">
        <f t="shared" si="30"/>
        <v>2502639.182661439</v>
      </c>
      <c r="EL32">
        <f t="shared" si="31"/>
        <v>279116.4855958264</v>
      </c>
    </row>
    <row r="33" spans="1:142" ht="12.75">
      <c r="A33" s="65" t="s">
        <v>487</v>
      </c>
      <c r="B33" t="s">
        <v>475</v>
      </c>
      <c r="C33" s="7">
        <v>24.41376280988007</v>
      </c>
      <c r="D33" s="7">
        <v>18.074763822453374</v>
      </c>
      <c r="E33" s="7">
        <v>5.015875592009527</v>
      </c>
      <c r="F33" s="7">
        <v>5.77221755734683</v>
      </c>
      <c r="G33" s="7">
        <v>5.394046574678167</v>
      </c>
      <c r="H33" s="7">
        <v>6.01718572285605</v>
      </c>
      <c r="I33" s="7">
        <v>14.107950149546099</v>
      </c>
      <c r="J33" s="7">
        <v>10.062567839523284</v>
      </c>
      <c r="K33" s="7">
        <v>0.8084833109015083</v>
      </c>
      <c r="L33" s="7">
        <v>1.052694423882348</v>
      </c>
      <c r="M33" s="7">
        <v>0.9305888673919265</v>
      </c>
      <c r="N33" s="7">
        <v>2.1479259158461086</v>
      </c>
      <c r="O33" s="7">
        <v>6.876130885678692</v>
      </c>
      <c r="P33" s="7">
        <v>4.512028400762403</v>
      </c>
      <c r="Q33" s="7">
        <v>0.06445752281357646</v>
      </c>
      <c r="R33" s="7">
        <v>0.10468328477098723</v>
      </c>
      <c r="S33" s="7">
        <v>0.08457034875187372</v>
      </c>
      <c r="T33" s="7">
        <v>3.051698919636489</v>
      </c>
      <c r="U33" s="7">
        <v>6.250281042587666</v>
      </c>
      <c r="V33" s="7">
        <v>4.650990077789873</v>
      </c>
      <c r="W33" s="7">
        <v>10.448303949156514</v>
      </c>
      <c r="X33" s="7">
        <v>21.178328755210977</v>
      </c>
      <c r="Y33" s="7">
        <v>15.813317152122327</v>
      </c>
      <c r="Z33" s="7">
        <v>5.129337959858405</v>
      </c>
      <c r="AA33" s="7">
        <v>5.931373336236586</v>
      </c>
      <c r="AB33" s="7">
        <v>5.530355579243214</v>
      </c>
      <c r="AC33" s="7">
        <v>7.4114197268078374</v>
      </c>
      <c r="AD33" s="7">
        <v>15.34273030103848</v>
      </c>
      <c r="AE33" s="7">
        <v>11.377075045197381</v>
      </c>
      <c r="AF33" s="7">
        <v>0.9510866960967428</v>
      </c>
      <c r="AG33" s="7">
        <v>1.227774610628205</v>
      </c>
      <c r="AH33" s="7">
        <v>1.0894321630111001</v>
      </c>
      <c r="AI33" s="7">
        <v>1.971293009497935</v>
      </c>
      <c r="AJ33" s="7">
        <v>6.498300654733692</v>
      </c>
      <c r="AK33" s="7">
        <v>4.234797067009055</v>
      </c>
      <c r="AL33" s="7">
        <v>0.053881316470028855</v>
      </c>
      <c r="AM33" s="7">
        <v>0.09047358617895086</v>
      </c>
      <c r="AN33" s="7">
        <v>0.07217854262501346</v>
      </c>
      <c r="AO33" s="7">
        <v>1.609325746495108</v>
      </c>
      <c r="AP33" s="7">
        <v>4.5387529930688215</v>
      </c>
      <c r="AQ33" s="7">
        <v>3.0740386443445447</v>
      </c>
      <c r="AR33" s="7">
        <v>9.044557901338605</v>
      </c>
      <c r="AS33" s="7">
        <v>16.002861674879565</v>
      </c>
      <c r="AT33" s="7">
        <v>12.523709735149135</v>
      </c>
      <c r="AU33" s="7">
        <v>5.2621310178925045</v>
      </c>
      <c r="AV33" s="7">
        <v>6.06267672233713</v>
      </c>
      <c r="AW33" s="7">
        <v>5.66240391935559</v>
      </c>
      <c r="AX33" s="7">
        <v>6.018391018606283</v>
      </c>
      <c r="AY33" s="7">
        <v>12.697789087755119</v>
      </c>
      <c r="AZ33" s="7">
        <v>9.358090007415035</v>
      </c>
      <c r="BA33" s="7">
        <v>1.1738881447359928</v>
      </c>
      <c r="BB33" s="7">
        <v>1.4888449125483583</v>
      </c>
      <c r="BC33" s="7">
        <v>1.3313663641009246</v>
      </c>
      <c r="BD33" s="7">
        <v>1.775061335260345</v>
      </c>
      <c r="BE33" s="7">
        <v>6.07815525781375</v>
      </c>
      <c r="BF33" s="7">
        <v>3.926608461078301</v>
      </c>
      <c r="BG33" s="7">
        <v>0.04299156270978792</v>
      </c>
      <c r="BH33" s="7">
        <v>0.07271499231241484</v>
      </c>
      <c r="BI33" s="7">
        <v>0.057853334631968935</v>
      </c>
      <c r="BJ33" s="7">
        <v>0.9852685260932679</v>
      </c>
      <c r="BK33" s="7">
        <v>2.960788357854062</v>
      </c>
      <c r="BL33" s="7">
        <v>1.97302848773933</v>
      </c>
      <c r="BM33" s="56">
        <v>26354.55936672032</v>
      </c>
      <c r="BN33" s="56">
        <v>50466.77196658365</v>
      </c>
      <c r="BO33" s="56">
        <v>38410.66566714353</v>
      </c>
      <c r="BP33" s="56">
        <v>195793.68812066363</v>
      </c>
      <c r="BQ33" s="56">
        <v>358378.21150791267</v>
      </c>
      <c r="BR33" s="56">
        <v>277085.94981492363</v>
      </c>
      <c r="BS33" s="7">
        <f t="shared" si="0"/>
        <v>10.306579588949624</v>
      </c>
      <c r="BT33" s="56">
        <v>498721580.1135665</v>
      </c>
      <c r="BU33" s="70">
        <v>628305554.238</v>
      </c>
      <c r="BV33" s="57">
        <f t="shared" si="32"/>
        <v>79.3756440237758</v>
      </c>
      <c r="BW33">
        <v>280477058.04751104</v>
      </c>
      <c r="BX33">
        <v>17789996.472585015</v>
      </c>
      <c r="BY33">
        <v>68994082.28361835</v>
      </c>
      <c r="BZ33">
        <v>123913820.56743188</v>
      </c>
      <c r="CA33">
        <v>3061711.2338141063</v>
      </c>
      <c r="CB33">
        <v>36101146.37827559</v>
      </c>
      <c r="CC33">
        <v>31727331.233514976</v>
      </c>
      <c r="CD33">
        <v>3873651.1263299994</v>
      </c>
      <c r="CE33" s="7">
        <v>56.239206248833696</v>
      </c>
      <c r="CF33" s="7">
        <v>3.5671198484200266</v>
      </c>
      <c r="CG33" s="7">
        <v>13.834188259490865</v>
      </c>
      <c r="CH33" s="7">
        <v>24.84629210133935</v>
      </c>
      <c r="CI33" s="7">
        <v>0.6139119211799313</v>
      </c>
      <c r="CJ33" s="7">
        <v>7.238737567773748</v>
      </c>
      <c r="CK33" s="7">
        <v>6.361732176556342</v>
      </c>
      <c r="CL33" s="7">
        <v>0.7767161640464626</v>
      </c>
      <c r="CM33" s="7">
        <v>3.5697592141481245</v>
      </c>
      <c r="CN33" s="56">
        <f t="shared" si="2"/>
        <v>16558716.029605485</v>
      </c>
      <c r="CO33" s="56">
        <f t="shared" si="3"/>
        <v>317085531.31067103</v>
      </c>
      <c r="CP33" s="56">
        <f t="shared" si="4"/>
        <v>24133634.580645133</v>
      </c>
      <c r="CQ33" s="6">
        <f t="shared" si="5"/>
        <v>3.09843937407852</v>
      </c>
      <c r="CR33" s="6">
        <f t="shared" si="6"/>
        <v>5.172725301044624</v>
      </c>
      <c r="CS33" s="6">
        <f t="shared" si="7"/>
        <v>4.135609239190062</v>
      </c>
      <c r="CT33" s="58">
        <f t="shared" si="8"/>
        <v>49460535.269391425</v>
      </c>
      <c r="CU33" s="58">
        <f t="shared" si="9"/>
        <v>82572460.29455712</v>
      </c>
      <c r="CV33" s="58">
        <f t="shared" si="10"/>
        <v>66016927.21395086</v>
      </c>
      <c r="CW33">
        <f t="shared" si="11"/>
        <v>123018261730.95569</v>
      </c>
      <c r="CX33">
        <f t="shared" si="12"/>
        <v>225171020808.30228</v>
      </c>
      <c r="CY33">
        <f t="shared" si="13"/>
        <v>174094641270.02826</v>
      </c>
      <c r="CZ33" s="59">
        <v>428.38</v>
      </c>
      <c r="DA33" s="59">
        <v>40.171</v>
      </c>
      <c r="DB33" s="6">
        <v>1.7</v>
      </c>
      <c r="DC33" s="6">
        <v>8.55</v>
      </c>
      <c r="DD33" s="6">
        <v>6.27</v>
      </c>
      <c r="DE33" s="68">
        <v>8.81</v>
      </c>
      <c r="DF33" s="68">
        <v>2.69</v>
      </c>
      <c r="DG33" s="68">
        <v>46.36</v>
      </c>
      <c r="DH33" s="68">
        <v>9.73</v>
      </c>
      <c r="DI33" s="68">
        <v>1.67</v>
      </c>
      <c r="DJ33" s="68">
        <v>0.71</v>
      </c>
      <c r="DK33" s="68">
        <v>7.14</v>
      </c>
      <c r="DL33" s="68">
        <v>4.83</v>
      </c>
      <c r="DM33" s="68">
        <v>1.3</v>
      </c>
      <c r="DN33" s="68">
        <v>0.14</v>
      </c>
      <c r="DO33" s="68">
        <v>0.1</v>
      </c>
      <c r="DP33" s="6">
        <v>2245.2</v>
      </c>
      <c r="DQ33" t="s">
        <v>467</v>
      </c>
      <c r="DR33" t="s">
        <v>467</v>
      </c>
      <c r="DS33" s="63">
        <v>0</v>
      </c>
      <c r="DT33">
        <v>0</v>
      </c>
      <c r="DU33">
        <f t="shared" si="14"/>
        <v>0</v>
      </c>
      <c r="DV33">
        <f t="shared" si="15"/>
        <v>0</v>
      </c>
      <c r="DW33">
        <f t="shared" si="16"/>
        <v>0</v>
      </c>
      <c r="DX33">
        <f t="shared" si="17"/>
        <v>1.3001072</v>
      </c>
      <c r="DY33" s="59">
        <f t="shared" si="18"/>
        <v>816864.5748648144</v>
      </c>
      <c r="DZ33">
        <f t="shared" si="20"/>
        <v>0</v>
      </c>
      <c r="EA33">
        <f t="shared" si="21"/>
        <v>0</v>
      </c>
      <c r="EB33">
        <f t="shared" si="22"/>
        <v>0</v>
      </c>
      <c r="EC33">
        <f t="shared" si="23"/>
        <v>0</v>
      </c>
      <c r="ED33" s="7">
        <f t="shared" si="19"/>
        <v>3.57342058311572</v>
      </c>
      <c r="EE33">
        <f t="shared" si="24"/>
        <v>0</v>
      </c>
      <c r="EF33">
        <f t="shared" si="25"/>
        <v>0</v>
      </c>
      <c r="EG33">
        <f t="shared" si="26"/>
        <v>0</v>
      </c>
      <c r="EH33">
        <f t="shared" si="27"/>
        <v>0</v>
      </c>
      <c r="EI33">
        <f t="shared" si="28"/>
        <v>0</v>
      </c>
      <c r="EJ33">
        <f t="shared" si="29"/>
        <v>0</v>
      </c>
      <c r="EK33">
        <f t="shared" si="30"/>
        <v>0</v>
      </c>
      <c r="EL33">
        <f t="shared" si="31"/>
        <v>0</v>
      </c>
    </row>
    <row r="34" spans="1:142" ht="12.75">
      <c r="A34" s="55" t="s">
        <v>488</v>
      </c>
      <c r="B34" t="s">
        <v>489</v>
      </c>
      <c r="C34" s="7">
        <v>11.168349777699058</v>
      </c>
      <c r="D34" s="7">
        <v>7.557880939428018</v>
      </c>
      <c r="E34" s="7">
        <v>5.2970383910488</v>
      </c>
      <c r="F34" s="7">
        <v>6.610662743986335</v>
      </c>
      <c r="G34" s="7">
        <v>5.953850567517567</v>
      </c>
      <c r="H34" s="7">
        <v>4.27983363564422</v>
      </c>
      <c r="I34" s="7">
        <v>11.772015877627652</v>
      </c>
      <c r="J34" s="7">
        <v>8.025924756635938</v>
      </c>
      <c r="K34" s="7">
        <v>1.2392108667166022</v>
      </c>
      <c r="L34" s="7">
        <v>1.4992958378152943</v>
      </c>
      <c r="M34" s="7">
        <v>1.3692533522659478</v>
      </c>
      <c r="N34" s="7">
        <v>4.308511600458649</v>
      </c>
      <c r="O34" s="7">
        <v>14.236833183983288</v>
      </c>
      <c r="P34" s="7">
        <v>9.272672392220972</v>
      </c>
      <c r="Q34" s="7">
        <v>0.07213646522136977</v>
      </c>
      <c r="R34" s="7">
        <v>0.10254978189809849</v>
      </c>
      <c r="S34" s="7">
        <v>0.08734312355973413</v>
      </c>
      <c r="T34" s="7">
        <v>1.228419513088714</v>
      </c>
      <c r="U34" s="7">
        <v>3.1963483266219486</v>
      </c>
      <c r="V34" s="7">
        <v>2.212383919855332</v>
      </c>
      <c r="W34" s="7">
        <v>3.66758722994745</v>
      </c>
      <c r="X34" s="7">
        <v>10.484279646592617</v>
      </c>
      <c r="Y34" s="7">
        <v>7.075934610467453</v>
      </c>
      <c r="Z34" s="7">
        <v>5.305429611233213</v>
      </c>
      <c r="AA34" s="7">
        <v>6.673783356327706</v>
      </c>
      <c r="AB34" s="7">
        <v>5.9896068446351824</v>
      </c>
      <c r="AC34" s="7">
        <v>3.9311225224666084</v>
      </c>
      <c r="AD34" s="7">
        <v>12.137854292863416</v>
      </c>
      <c r="AE34" s="7">
        <v>8.034488012353515</v>
      </c>
      <c r="AF34" s="7">
        <v>1.286674534012262</v>
      </c>
      <c r="AG34" s="7">
        <v>1.5469339649333465</v>
      </c>
      <c r="AH34" s="7">
        <v>1.4168058384508677</v>
      </c>
      <c r="AI34" s="7">
        <v>5.350264646087625</v>
      </c>
      <c r="AJ34" s="7">
        <v>19.630301197830534</v>
      </c>
      <c r="AK34" s="7">
        <v>12.490281607390237</v>
      </c>
      <c r="AL34" s="7">
        <v>0.06908512763733393</v>
      </c>
      <c r="AM34" s="7">
        <v>0.09870786864072431</v>
      </c>
      <c r="AN34" s="7">
        <v>0.08389777825109568</v>
      </c>
      <c r="AO34" s="7">
        <v>1.0164712430570997</v>
      </c>
      <c r="AP34" s="7">
        <v>2.357536365683365</v>
      </c>
      <c r="AQ34" s="7">
        <v>1.6870041652249539</v>
      </c>
      <c r="AR34" s="7">
        <v>3.0961566278439108</v>
      </c>
      <c r="AS34" s="7">
        <v>8.509776915209859</v>
      </c>
      <c r="AT34" s="7">
        <v>5.802966771526883</v>
      </c>
      <c r="AU34" s="7">
        <v>5.330603271786458</v>
      </c>
      <c r="AV34" s="7">
        <v>6.7380498522556005</v>
      </c>
      <c r="AW34" s="7">
        <v>6.03432656202103</v>
      </c>
      <c r="AX34" s="7">
        <v>3.6692646369144333</v>
      </c>
      <c r="AY34" s="7">
        <v>12.462752732241963</v>
      </c>
      <c r="AZ34" s="7">
        <v>8.066008684578199</v>
      </c>
      <c r="BA34" s="7">
        <v>1.320377527184382</v>
      </c>
      <c r="BB34" s="7">
        <v>1.5851687132134835</v>
      </c>
      <c r="BC34" s="7">
        <v>1.452773120198933</v>
      </c>
      <c r="BD34" s="7">
        <v>7.361803488294942</v>
      </c>
      <c r="BE34" s="7">
        <v>31.158888470897367</v>
      </c>
      <c r="BF34" s="7">
        <v>19.26034597959616</v>
      </c>
      <c r="BG34" s="7">
        <v>0.06590926616010323</v>
      </c>
      <c r="BH34" s="7">
        <v>0.09494498569318081</v>
      </c>
      <c r="BI34" s="7">
        <v>0.08042712592664202</v>
      </c>
      <c r="BJ34" s="7">
        <v>0.6412394960362312</v>
      </c>
      <c r="BK34" s="7">
        <v>1.2437457084210586</v>
      </c>
      <c r="BL34" s="7">
        <v>0.9424926022286447</v>
      </c>
      <c r="BM34" s="56">
        <v>16395.308836771423</v>
      </c>
      <c r="BN34" s="56">
        <v>32504.213476098445</v>
      </c>
      <c r="BO34" s="56">
        <v>24449.761156181998</v>
      </c>
      <c r="BP34" s="56">
        <v>62906.1209509326</v>
      </c>
      <c r="BQ34" s="56">
        <v>192474.2046709913</v>
      </c>
      <c r="BR34" s="56">
        <v>127690.16280988733</v>
      </c>
      <c r="BS34" s="7">
        <f t="shared" si="0"/>
        <v>8.045383630099874</v>
      </c>
      <c r="BT34" s="56">
        <v>15487835.234132305</v>
      </c>
      <c r="BU34" s="8">
        <v>15484831.4561</v>
      </c>
      <c r="BV34" s="57">
        <f t="shared" si="32"/>
        <v>100.01939819649198</v>
      </c>
      <c r="BW34">
        <v>856.933193515</v>
      </c>
      <c r="BX34">
        <v>1002988.5737626251</v>
      </c>
      <c r="BY34">
        <v>9776968.324433615</v>
      </c>
      <c r="BZ34">
        <v>4451568.786039388</v>
      </c>
      <c r="CA34">
        <v>72400.16902869</v>
      </c>
      <c r="CB34">
        <v>183909.38086798796</v>
      </c>
      <c r="CC34">
        <v>0</v>
      </c>
      <c r="CD34">
        <v>0</v>
      </c>
      <c r="CE34" s="7">
        <v>0.005532943633248879</v>
      </c>
      <c r="CF34" s="7">
        <v>6.475976523511982</v>
      </c>
      <c r="CG34" s="7">
        <v>63.12675836637904</v>
      </c>
      <c r="CH34" s="7">
        <v>28.742356299277766</v>
      </c>
      <c r="CI34" s="7">
        <v>0.46746474206500793</v>
      </c>
      <c r="CJ34" s="7">
        <v>1.1874440687662142</v>
      </c>
      <c r="CK34" s="7">
        <v>0</v>
      </c>
      <c r="CL34" s="7">
        <v>0</v>
      </c>
      <c r="CM34" s="7">
        <v>8.717710980335697</v>
      </c>
      <c r="CN34" s="56">
        <f t="shared" si="2"/>
        <v>253878.5940081124</v>
      </c>
      <c r="CO34" s="56">
        <f t="shared" si="3"/>
        <v>5033222.672904787</v>
      </c>
      <c r="CP34" s="56">
        <f t="shared" si="4"/>
        <v>378600.4306453789</v>
      </c>
      <c r="CQ34" s="6">
        <f t="shared" si="5"/>
        <v>4.105503033794929</v>
      </c>
      <c r="CR34" s="6">
        <f t="shared" si="6"/>
        <v>5.878265886790905</v>
      </c>
      <c r="CS34" s="6">
        <f t="shared" si="7"/>
        <v>4.991915182982514</v>
      </c>
      <c r="CT34" s="58">
        <f t="shared" si="8"/>
        <v>1615168.2551021774</v>
      </c>
      <c r="CU34" s="58">
        <f t="shared" si="9"/>
        <v>2312600.5211153296</v>
      </c>
      <c r="CV34" s="58">
        <f t="shared" si="10"/>
        <v>1963896.4748889944</v>
      </c>
      <c r="CW34">
        <f t="shared" si="11"/>
        <v>974090680.4822325</v>
      </c>
      <c r="CX34">
        <f t="shared" si="12"/>
        <v>2980430618.9771957</v>
      </c>
      <c r="CY34">
        <f t="shared" si="13"/>
        <v>1977260649.7130737</v>
      </c>
      <c r="CZ34" s="59">
        <v>121.268</v>
      </c>
      <c r="DA34" s="59">
        <v>12.0027</v>
      </c>
      <c r="DB34" s="6">
        <v>1.18</v>
      </c>
      <c r="DC34" s="6">
        <v>5.37</v>
      </c>
      <c r="DD34" s="6">
        <v>7.25</v>
      </c>
      <c r="DE34" s="6">
        <v>21.43</v>
      </c>
      <c r="DF34" s="6">
        <v>0</v>
      </c>
      <c r="DG34" s="6">
        <v>27.46</v>
      </c>
      <c r="DH34" s="6">
        <v>19.04</v>
      </c>
      <c r="DI34" s="6">
        <v>0</v>
      </c>
      <c r="DJ34" s="6">
        <v>0.06</v>
      </c>
      <c r="DK34" s="6">
        <v>12.36</v>
      </c>
      <c r="DL34" s="6">
        <v>0</v>
      </c>
      <c r="DM34" s="6">
        <v>5.75</v>
      </c>
      <c r="DN34" s="6">
        <v>0.04</v>
      </c>
      <c r="DO34" s="6">
        <v>0.08</v>
      </c>
      <c r="DP34" s="6">
        <v>355.678</v>
      </c>
      <c r="DQ34" t="s">
        <v>426</v>
      </c>
      <c r="DR34" t="s">
        <v>290</v>
      </c>
      <c r="DS34" s="59">
        <v>1</v>
      </c>
      <c r="DT34">
        <v>1</v>
      </c>
      <c r="DU34">
        <f t="shared" si="14"/>
        <v>1</v>
      </c>
      <c r="DV34">
        <f t="shared" si="15"/>
        <v>0</v>
      </c>
      <c r="DW34">
        <f t="shared" si="16"/>
        <v>0</v>
      </c>
      <c r="DX34">
        <f t="shared" si="17"/>
        <v>1.47208992</v>
      </c>
      <c r="DY34" s="59">
        <f t="shared" si="18"/>
        <v>22795.06429942373</v>
      </c>
      <c r="DZ34">
        <f t="shared" si="20"/>
        <v>22795.06429942373</v>
      </c>
      <c r="EA34">
        <f t="shared" si="21"/>
        <v>253878.5940081124</v>
      </c>
      <c r="EB34">
        <f t="shared" si="22"/>
        <v>5033222.672904787</v>
      </c>
      <c r="EC34">
        <f t="shared" si="23"/>
        <v>378600.4306453789</v>
      </c>
      <c r="ED34" s="7">
        <f t="shared" si="19"/>
        <v>22.969446003229592</v>
      </c>
      <c r="EE34">
        <f t="shared" si="24"/>
        <v>0</v>
      </c>
      <c r="EF34">
        <f t="shared" si="25"/>
        <v>0</v>
      </c>
      <c r="EG34">
        <f t="shared" si="26"/>
        <v>0</v>
      </c>
      <c r="EH34">
        <f t="shared" si="27"/>
        <v>0</v>
      </c>
      <c r="EI34">
        <f t="shared" si="28"/>
        <v>22795.06429942373</v>
      </c>
      <c r="EJ34">
        <f t="shared" si="29"/>
        <v>253878.5940081124</v>
      </c>
      <c r="EK34">
        <f t="shared" si="30"/>
        <v>5033222.672904787</v>
      </c>
      <c r="EL34">
        <f t="shared" si="31"/>
        <v>378600.4306453789</v>
      </c>
    </row>
    <row r="35" spans="1:142" ht="12.75">
      <c r="A35" s="55" t="s">
        <v>490</v>
      </c>
      <c r="B35" t="s">
        <v>491</v>
      </c>
      <c r="C35" s="7">
        <v>18.71657829719307</v>
      </c>
      <c r="D35" s="7">
        <v>11.692418338517868</v>
      </c>
      <c r="E35" s="7">
        <v>5.32327728122374</v>
      </c>
      <c r="F35" s="7">
        <v>6.289495045975595</v>
      </c>
      <c r="G35" s="7">
        <v>5.806386163599669</v>
      </c>
      <c r="H35" s="7">
        <v>3.9810901257021176</v>
      </c>
      <c r="I35" s="7">
        <v>11.15465738688209</v>
      </c>
      <c r="J35" s="7">
        <v>7.567873756292103</v>
      </c>
      <c r="K35" s="7">
        <v>0.9698579285367931</v>
      </c>
      <c r="L35" s="7">
        <v>1.2086175225140794</v>
      </c>
      <c r="M35" s="7">
        <v>1.089237725525436</v>
      </c>
      <c r="N35" s="7">
        <v>2.50866306264721</v>
      </c>
      <c r="O35" s="7">
        <v>7.981270272366601</v>
      </c>
      <c r="P35" s="7">
        <v>5.244966667506905</v>
      </c>
      <c r="Q35" s="7">
        <v>0.051898702218860955</v>
      </c>
      <c r="R35" s="7">
        <v>0.08780775432936408</v>
      </c>
      <c r="S35" s="7">
        <v>0.06985322827411251</v>
      </c>
      <c r="T35" s="7">
        <v>1.059702729990879</v>
      </c>
      <c r="U35" s="7">
        <v>2.704592917742724</v>
      </c>
      <c r="V35" s="7">
        <v>1.8821478238668015</v>
      </c>
      <c r="W35" s="7">
        <v>9.386631907765178</v>
      </c>
      <c r="X35" s="7">
        <v>21.565973624471127</v>
      </c>
      <c r="Y35" s="7">
        <v>15.47630561551348</v>
      </c>
      <c r="Z35" s="7">
        <v>5.482419279466388</v>
      </c>
      <c r="AA35" s="7">
        <v>6.289495045975595</v>
      </c>
      <c r="AB35" s="7">
        <v>5.885954313325664</v>
      </c>
      <c r="AC35" s="7">
        <v>3.965781733396764</v>
      </c>
      <c r="AD35" s="7">
        <v>10.58779597858807</v>
      </c>
      <c r="AE35" s="7">
        <v>7.276788855992418</v>
      </c>
      <c r="AF35" s="7">
        <v>1.1957116444400717</v>
      </c>
      <c r="AG35" s="7">
        <v>1.4377847228827674</v>
      </c>
      <c r="AH35" s="7">
        <v>1.3167520596208173</v>
      </c>
      <c r="AI35" s="7">
        <v>3.9226671576356864</v>
      </c>
      <c r="AJ35" s="7">
        <v>17.11028389542519</v>
      </c>
      <c r="AK35" s="7">
        <v>10.516472677135111</v>
      </c>
      <c r="AL35" s="7">
        <v>0.05061549713079776</v>
      </c>
      <c r="AM35" s="7">
        <v>0.08780775432936408</v>
      </c>
      <c r="AN35" s="7">
        <v>0.06921265229415137</v>
      </c>
      <c r="AO35" s="7">
        <v>0.8852523394428787</v>
      </c>
      <c r="AP35" s="7">
        <v>2.1504259554530503</v>
      </c>
      <c r="AQ35" s="7">
        <v>1.5178391474479644</v>
      </c>
      <c r="AR35" s="7">
        <v>18.88461823162226</v>
      </c>
      <c r="AS35" s="7">
        <v>26.94845405303601</v>
      </c>
      <c r="AT35" s="7">
        <v>22.91653725871554</v>
      </c>
      <c r="AU35" s="7">
        <v>5.710873220996602</v>
      </c>
      <c r="AV35" s="7">
        <v>6.289495045975595</v>
      </c>
      <c r="AW35" s="7">
        <v>6.0001841334860995</v>
      </c>
      <c r="AX35" s="7">
        <v>3.965781733396764</v>
      </c>
      <c r="AY35" s="7">
        <v>10.279826757452904</v>
      </c>
      <c r="AZ35" s="7">
        <v>7.122804245424835</v>
      </c>
      <c r="BA35" s="7">
        <v>1.5571411671036994</v>
      </c>
      <c r="BB35" s="7">
        <v>1.8143586995338408</v>
      </c>
      <c r="BC35" s="7">
        <v>1.68574993331877</v>
      </c>
      <c r="BD35" s="7">
        <v>4.241098697448043</v>
      </c>
      <c r="BE35" s="7">
        <v>21.012947218924317</v>
      </c>
      <c r="BF35" s="7">
        <v>12.627022958186185</v>
      </c>
      <c r="BG35" s="7">
        <v>0.04826477092689575</v>
      </c>
      <c r="BH35" s="7">
        <v>0.08464391525442366</v>
      </c>
      <c r="BI35" s="7">
        <v>0.06645545947706584</v>
      </c>
      <c r="BJ35" s="7">
        <v>0.5777202832216514</v>
      </c>
      <c r="BK35" s="7">
        <v>1.155442799216115</v>
      </c>
      <c r="BL35" s="7">
        <v>0.8665815412188833</v>
      </c>
      <c r="BM35" s="56">
        <v>17268.708852244617</v>
      </c>
      <c r="BN35" s="56">
        <v>32614.086664253166</v>
      </c>
      <c r="BO35" s="56">
        <v>24941.39776212485</v>
      </c>
      <c r="BP35" s="56">
        <v>296436.24910993135</v>
      </c>
      <c r="BQ35" s="56">
        <v>520725.0983153617</v>
      </c>
      <c r="BR35" s="56">
        <v>408580.6737097971</v>
      </c>
      <c r="BS35" s="7">
        <f t="shared" si="0"/>
        <v>7.273411991825322</v>
      </c>
      <c r="BT35" s="56">
        <v>4783498.80877372</v>
      </c>
      <c r="BU35" s="8">
        <v>4793808.49801</v>
      </c>
      <c r="BV35" s="57">
        <f t="shared" si="32"/>
        <v>99.78493739913557</v>
      </c>
      <c r="BW35">
        <v>0</v>
      </c>
      <c r="BX35">
        <v>0</v>
      </c>
      <c r="BY35">
        <v>2726015.8307519997</v>
      </c>
      <c r="BZ35">
        <v>2050160.21038603</v>
      </c>
      <c r="CA35">
        <v>7322.76763569</v>
      </c>
      <c r="CB35">
        <v>0</v>
      </c>
      <c r="CC35">
        <v>0</v>
      </c>
      <c r="CD35">
        <v>0</v>
      </c>
      <c r="CE35" s="7">
        <v>0</v>
      </c>
      <c r="CF35" s="7">
        <v>0</v>
      </c>
      <c r="CG35" s="7">
        <v>56.98790654556119</v>
      </c>
      <c r="CH35" s="7">
        <v>42.85900953138528</v>
      </c>
      <c r="CI35" s="7">
        <v>0.15308392305353657</v>
      </c>
      <c r="CJ35" s="7">
        <v>0</v>
      </c>
      <c r="CK35" s="7">
        <v>0</v>
      </c>
      <c r="CL35" s="7">
        <v>0</v>
      </c>
      <c r="CM35" s="7">
        <v>0.1530839230535366</v>
      </c>
      <c r="CN35" s="56">
        <f t="shared" si="2"/>
        <v>82782.88324555077</v>
      </c>
      <c r="CO35" s="56">
        <f t="shared" si="3"/>
        <v>1563456.8580593145</v>
      </c>
      <c r="CP35" s="56">
        <f t="shared" si="4"/>
        <v>119564.2845443217</v>
      </c>
      <c r="CQ35" s="6">
        <f t="shared" si="5"/>
        <v>2.9959108600109756</v>
      </c>
      <c r="CR35" s="6">
        <f t="shared" si="6"/>
        <v>5.192533121963275</v>
      </c>
      <c r="CS35" s="6">
        <f t="shared" si="7"/>
        <v>4.0942734217985635</v>
      </c>
      <c r="CT35" s="58">
        <f t="shared" si="8"/>
        <v>364883.71290653106</v>
      </c>
      <c r="CU35" s="58">
        <f t="shared" si="9"/>
        <v>632418.9381673259</v>
      </c>
      <c r="CV35" s="58">
        <f t="shared" si="10"/>
        <v>498657.5894968099</v>
      </c>
      <c r="CW35">
        <f t="shared" si="11"/>
        <v>1421058610.1013982</v>
      </c>
      <c r="CX35">
        <f t="shared" si="12"/>
        <v>2496256401.431274</v>
      </c>
      <c r="CY35">
        <f t="shared" si="13"/>
        <v>1958657505.7526762</v>
      </c>
      <c r="CZ35" s="59">
        <v>103.678</v>
      </c>
      <c r="DA35" s="59">
        <v>15.6641</v>
      </c>
      <c r="DB35" s="6">
        <v>1.76</v>
      </c>
      <c r="DC35" s="6">
        <v>5.22</v>
      </c>
      <c r="DD35" s="6">
        <v>5.46</v>
      </c>
      <c r="DE35" s="6">
        <v>21</v>
      </c>
      <c r="DF35" s="6">
        <v>0</v>
      </c>
      <c r="DG35" s="6">
        <v>50.28</v>
      </c>
      <c r="DH35" s="6">
        <v>10.44</v>
      </c>
      <c r="DI35" s="6">
        <v>0</v>
      </c>
      <c r="DJ35" s="6">
        <v>0.21</v>
      </c>
      <c r="DK35" s="6">
        <v>4.64</v>
      </c>
      <c r="DL35" s="6">
        <v>0</v>
      </c>
      <c r="DM35" s="6">
        <v>1</v>
      </c>
      <c r="DN35" s="6">
        <v>0</v>
      </c>
      <c r="DO35" s="6">
        <v>0</v>
      </c>
      <c r="DP35" s="6">
        <v>54.3752</v>
      </c>
      <c r="DQ35" t="s">
        <v>261</v>
      </c>
      <c r="DR35" t="s">
        <v>423</v>
      </c>
      <c r="DS35" s="59">
        <v>1</v>
      </c>
      <c r="DT35">
        <v>1</v>
      </c>
      <c r="DU35">
        <f t="shared" si="14"/>
        <v>1</v>
      </c>
      <c r="DV35">
        <f t="shared" si="15"/>
        <v>0</v>
      </c>
      <c r="DW35">
        <f t="shared" si="16"/>
        <v>0</v>
      </c>
      <c r="DX35">
        <f t="shared" si="17"/>
        <v>1.48194032</v>
      </c>
      <c r="DY35" s="59">
        <f t="shared" si="18"/>
        <v>7104.138099559659</v>
      </c>
      <c r="DZ35">
        <f t="shared" si="20"/>
        <v>7104.138099559659</v>
      </c>
      <c r="EA35">
        <f t="shared" si="21"/>
        <v>82782.88324555077</v>
      </c>
      <c r="EB35">
        <f t="shared" si="22"/>
        <v>1563456.8580593145</v>
      </c>
      <c r="EC35">
        <f t="shared" si="23"/>
        <v>119564.2845443217</v>
      </c>
      <c r="ED35" s="7">
        <f t="shared" si="19"/>
        <v>11.342797698859302</v>
      </c>
      <c r="EE35">
        <f t="shared" si="24"/>
        <v>0</v>
      </c>
      <c r="EF35">
        <f t="shared" si="25"/>
        <v>0</v>
      </c>
      <c r="EG35">
        <f t="shared" si="26"/>
        <v>0</v>
      </c>
      <c r="EH35">
        <f t="shared" si="27"/>
        <v>0</v>
      </c>
      <c r="EI35">
        <f t="shared" si="28"/>
        <v>7104.138099559659</v>
      </c>
      <c r="EJ35">
        <f t="shared" si="29"/>
        <v>82782.88324555077</v>
      </c>
      <c r="EK35">
        <f t="shared" si="30"/>
        <v>1563456.8580593145</v>
      </c>
      <c r="EL35">
        <f t="shared" si="31"/>
        <v>119564.2845443217</v>
      </c>
    </row>
    <row r="36" spans="1:142" ht="12.75">
      <c r="A36" s="65" t="s">
        <v>492</v>
      </c>
      <c r="B36" t="s">
        <v>493</v>
      </c>
      <c r="C36" s="7">
        <v>23.29138039018145</v>
      </c>
      <c r="D36" s="7">
        <v>15.020794502360502</v>
      </c>
      <c r="E36" s="7">
        <v>5.100559010384022</v>
      </c>
      <c r="F36" s="7">
        <v>5.9866838007078504</v>
      </c>
      <c r="G36" s="7">
        <v>5.54362140554594</v>
      </c>
      <c r="H36" s="7">
        <v>4.462869037527156</v>
      </c>
      <c r="I36" s="7">
        <v>11.117954005143496</v>
      </c>
      <c r="J36" s="7">
        <v>7.790411521335329</v>
      </c>
      <c r="K36" s="7">
        <v>0.8886301635404499</v>
      </c>
      <c r="L36" s="7">
        <v>1.13731979129043</v>
      </c>
      <c r="M36" s="7">
        <v>1.0129749774154395</v>
      </c>
      <c r="N36" s="7">
        <v>2.8498338584927603</v>
      </c>
      <c r="O36" s="7">
        <v>9.348977347044562</v>
      </c>
      <c r="P36" s="7">
        <v>6.099405602768661</v>
      </c>
      <c r="Q36" s="7">
        <v>0.06200022133325011</v>
      </c>
      <c r="R36" s="7">
        <v>0.09967945717787464</v>
      </c>
      <c r="S36" s="7">
        <v>0.08083983925556233</v>
      </c>
      <c r="T36" s="7">
        <v>1.669531899810698</v>
      </c>
      <c r="U36" s="7">
        <v>4.111107440881501</v>
      </c>
      <c r="V36" s="7">
        <v>2.8903196703461003</v>
      </c>
      <c r="W36" s="7">
        <v>11.972461336331607</v>
      </c>
      <c r="X36" s="7">
        <v>25.931445849737134</v>
      </c>
      <c r="Y36" s="7">
        <v>18.95195711270612</v>
      </c>
      <c r="Z36" s="7">
        <v>5.280583225463171</v>
      </c>
      <c r="AA36" s="7">
        <v>6.002084423645635</v>
      </c>
      <c r="AB36" s="7">
        <v>5.641330328440604</v>
      </c>
      <c r="AC36" s="7">
        <v>4.286715580765598</v>
      </c>
      <c r="AD36" s="7">
        <v>10.372563939948995</v>
      </c>
      <c r="AE36" s="7">
        <v>7.329639696881479</v>
      </c>
      <c r="AF36" s="7">
        <v>1.1469167997906893</v>
      </c>
      <c r="AG36" s="7">
        <v>1.401012103236064</v>
      </c>
      <c r="AH36" s="7">
        <v>1.273968483149432</v>
      </c>
      <c r="AI36" s="7">
        <v>4.025115387022875</v>
      </c>
      <c r="AJ36" s="7">
        <v>17.038552034686216</v>
      </c>
      <c r="AK36" s="7">
        <v>10.531830257231434</v>
      </c>
      <c r="AL36" s="7">
        <v>0.059711193357186554</v>
      </c>
      <c r="AM36" s="7">
        <v>0.09783043775771788</v>
      </c>
      <c r="AN36" s="7">
        <v>0.07877137207630518</v>
      </c>
      <c r="AO36" s="7">
        <v>1.2589138558121937</v>
      </c>
      <c r="AP36" s="7">
        <v>2.934315673364162</v>
      </c>
      <c r="AQ36" s="7">
        <v>2.0966147924664305</v>
      </c>
      <c r="AR36" s="7">
        <v>23.17825702904386</v>
      </c>
      <c r="AS36" s="7">
        <v>32.249901963271355</v>
      </c>
      <c r="AT36" s="7">
        <v>27.714079539683325</v>
      </c>
      <c r="AU36" s="7">
        <v>5.56918681246055</v>
      </c>
      <c r="AV36" s="7">
        <v>6.010691382225665</v>
      </c>
      <c r="AW36" s="7">
        <v>5.789939097343108</v>
      </c>
      <c r="AX36" s="7">
        <v>4.147689719286351</v>
      </c>
      <c r="AY36" s="7">
        <v>9.855987063847595</v>
      </c>
      <c r="AZ36" s="7">
        <v>7.001838367140463</v>
      </c>
      <c r="BA36" s="7">
        <v>1.5850672069917504</v>
      </c>
      <c r="BB36" s="7">
        <v>1.8573584965176249</v>
      </c>
      <c r="BC36" s="7">
        <v>1.7212128517546896</v>
      </c>
      <c r="BD36" s="7">
        <v>4.53417341753663</v>
      </c>
      <c r="BE36" s="7">
        <v>22.400164114191693</v>
      </c>
      <c r="BF36" s="7">
        <v>13.46716876586416</v>
      </c>
      <c r="BG36" s="7">
        <v>0.05821751541321019</v>
      </c>
      <c r="BH36" s="7">
        <v>0.0967869158138328</v>
      </c>
      <c r="BI36" s="7">
        <v>0.0775022591392352</v>
      </c>
      <c r="BJ36" s="7">
        <v>0.9329845284725988</v>
      </c>
      <c r="BK36" s="7">
        <v>1.7582296017792711</v>
      </c>
      <c r="BL36" s="7">
        <v>1.3456070895524432</v>
      </c>
      <c r="BM36" s="56">
        <v>20063.96269799753</v>
      </c>
      <c r="BN36" s="56">
        <v>36355.18364772833</v>
      </c>
      <c r="BO36" s="56">
        <v>28209.573176755384</v>
      </c>
      <c r="BP36" s="56">
        <v>355735.7246099099</v>
      </c>
      <c r="BQ36" s="56">
        <v>602933.9010994158</v>
      </c>
      <c r="BR36" s="56">
        <v>479334.81285122124</v>
      </c>
      <c r="BS36" s="7">
        <f t="shared" si="0"/>
        <v>7.290673529875843</v>
      </c>
      <c r="BT36" s="56">
        <v>119310877.99161474</v>
      </c>
      <c r="BU36" s="8">
        <v>119344935.82157245</v>
      </c>
      <c r="BV36" s="57">
        <f t="shared" si="32"/>
        <v>99.97146269364238</v>
      </c>
      <c r="BW36">
        <v>0</v>
      </c>
      <c r="BX36">
        <v>3396521.719476041</v>
      </c>
      <c r="BY36">
        <v>77582267.55726798</v>
      </c>
      <c r="BZ36">
        <v>33319468.001009915</v>
      </c>
      <c r="CA36">
        <v>1737401.16117465</v>
      </c>
      <c r="CB36">
        <v>5728427.219585813</v>
      </c>
      <c r="CC36">
        <v>0</v>
      </c>
      <c r="CD36">
        <v>0</v>
      </c>
      <c r="CE36" s="7">
        <v>0</v>
      </c>
      <c r="CF36" s="7">
        <v>2.8467829393684885</v>
      </c>
      <c r="CG36" s="7">
        <v>65.02530939611434</v>
      </c>
      <c r="CH36" s="7">
        <v>27.926596938924238</v>
      </c>
      <c r="CI36" s="7">
        <v>1.4561967780479796</v>
      </c>
      <c r="CJ36" s="7">
        <v>4.80126147423742</v>
      </c>
      <c r="CK36" s="7">
        <v>0</v>
      </c>
      <c r="CL36" s="7">
        <v>0</v>
      </c>
      <c r="CM36" s="7">
        <v>3.2547543343659355</v>
      </c>
      <c r="CN36" s="56">
        <f t="shared" si="2"/>
        <v>2394532.340518939</v>
      </c>
      <c r="CO36" s="56">
        <f t="shared" si="3"/>
        <v>43388070.592196174</v>
      </c>
      <c r="CP36" s="56">
        <f t="shared" si="4"/>
        <v>3366669.7003338234</v>
      </c>
      <c r="CQ36" s="6">
        <f t="shared" si="5"/>
        <v>3.5742916664885236</v>
      </c>
      <c r="CR36" s="6">
        <f t="shared" si="6"/>
        <v>5.866969971851711</v>
      </c>
      <c r="CS36" s="6">
        <f t="shared" si="7"/>
        <v>4.720645220239717</v>
      </c>
      <c r="CT36" s="58">
        <f t="shared" si="8"/>
        <v>10837744.14493532</v>
      </c>
      <c r="CU36" s="58">
        <f t="shared" si="9"/>
        <v>17789460.232666038</v>
      </c>
      <c r="CV36" s="58">
        <f t="shared" si="10"/>
        <v>14313645.854825249</v>
      </c>
      <c r="CW36">
        <f t="shared" si="11"/>
        <v>42455257223.01028</v>
      </c>
      <c r="CX36">
        <f t="shared" si="12"/>
        <v>71957107731.36009</v>
      </c>
      <c r="CY36">
        <f t="shared" si="13"/>
        <v>57206182476.774445</v>
      </c>
      <c r="CZ36" s="59">
        <v>141.925</v>
      </c>
      <c r="DA36" s="59">
        <v>9.97964</v>
      </c>
      <c r="DB36" s="6">
        <v>1.81</v>
      </c>
      <c r="DC36" s="6">
        <v>6.85</v>
      </c>
      <c r="DD36" s="6">
        <v>9.45</v>
      </c>
      <c r="DE36" s="6">
        <v>11.51</v>
      </c>
      <c r="DF36" s="6">
        <v>1.63</v>
      </c>
      <c r="DG36" s="6">
        <v>41.92</v>
      </c>
      <c r="DH36" s="6">
        <v>16.01</v>
      </c>
      <c r="DI36" s="6">
        <v>0</v>
      </c>
      <c r="DJ36" s="6">
        <v>0.1</v>
      </c>
      <c r="DK36" s="6">
        <v>8.12</v>
      </c>
      <c r="DL36" s="6">
        <v>0</v>
      </c>
      <c r="DM36" s="6">
        <v>2.44</v>
      </c>
      <c r="DN36" s="6">
        <v>0.07</v>
      </c>
      <c r="DO36" s="6">
        <v>0.1</v>
      </c>
      <c r="DP36" s="6">
        <v>2326.1</v>
      </c>
      <c r="DQ36" t="s">
        <v>261</v>
      </c>
      <c r="DR36" t="s">
        <v>423</v>
      </c>
      <c r="DS36" s="59">
        <v>1</v>
      </c>
      <c r="DT36">
        <v>1</v>
      </c>
      <c r="DU36">
        <f t="shared" si="14"/>
        <v>1</v>
      </c>
      <c r="DV36">
        <f t="shared" si="15"/>
        <v>0</v>
      </c>
      <c r="DW36">
        <f t="shared" si="16"/>
        <v>0</v>
      </c>
      <c r="DX36">
        <f t="shared" si="17"/>
        <v>1.460522</v>
      </c>
      <c r="DY36" s="59">
        <f t="shared" si="18"/>
        <v>174305.90435599463</v>
      </c>
      <c r="DZ36">
        <f t="shared" si="20"/>
        <v>174305.90435599463</v>
      </c>
      <c r="EA36">
        <f t="shared" si="21"/>
        <v>2394532.340518939</v>
      </c>
      <c r="EB36">
        <f t="shared" si="22"/>
        <v>43388070.592196174</v>
      </c>
      <c r="EC36">
        <f t="shared" si="23"/>
        <v>3366669.7003338234</v>
      </c>
      <c r="ED36" s="7">
        <f t="shared" si="19"/>
        <v>19.490563080763255</v>
      </c>
      <c r="EE36">
        <f t="shared" si="24"/>
        <v>0</v>
      </c>
      <c r="EF36">
        <f t="shared" si="25"/>
        <v>0</v>
      </c>
      <c r="EG36">
        <f t="shared" si="26"/>
        <v>0</v>
      </c>
      <c r="EH36">
        <f t="shared" si="27"/>
        <v>0</v>
      </c>
      <c r="EI36">
        <f t="shared" si="28"/>
        <v>174305.90435599463</v>
      </c>
      <c r="EJ36">
        <f t="shared" si="29"/>
        <v>2394532.340518939</v>
      </c>
      <c r="EK36">
        <f t="shared" si="30"/>
        <v>43388070.592196174</v>
      </c>
      <c r="EL36">
        <f t="shared" si="31"/>
        <v>3366669.7003338234</v>
      </c>
    </row>
    <row r="37" spans="1:142" ht="12.75">
      <c r="A37" s="71" t="s">
        <v>494</v>
      </c>
      <c r="B37" t="s">
        <v>495</v>
      </c>
      <c r="C37" s="7">
        <v>26.06491885347416</v>
      </c>
      <c r="D37" s="7">
        <v>18.89460883669269</v>
      </c>
      <c r="E37" s="7">
        <v>5.821485718861152</v>
      </c>
      <c r="F37" s="7">
        <v>6.575439362959113</v>
      </c>
      <c r="G37" s="7">
        <v>6.198462540910133</v>
      </c>
      <c r="H37" s="7">
        <v>6.808854849405762</v>
      </c>
      <c r="I37" s="7">
        <v>19.4687902109416</v>
      </c>
      <c r="J37" s="7">
        <v>13.138822530173682</v>
      </c>
      <c r="K37" s="7">
        <v>1.1200334670077208</v>
      </c>
      <c r="L37" s="7">
        <v>1.3095132541464103</v>
      </c>
      <c r="M37" s="7">
        <v>1.214773360577065</v>
      </c>
      <c r="N37" s="7">
        <v>2.7072036963894632</v>
      </c>
      <c r="O37" s="7">
        <v>9.013435437823965</v>
      </c>
      <c r="P37" s="7">
        <v>5.860319567106712</v>
      </c>
      <c r="Q37" s="7">
        <v>0.12025873003266158</v>
      </c>
      <c r="R37" s="7">
        <v>0.17709185043835066</v>
      </c>
      <c r="S37" s="7">
        <v>0.1486752902355061</v>
      </c>
      <c r="T37" s="7">
        <v>3.9049999261538813</v>
      </c>
      <c r="U37" s="7">
        <v>8.030512550938324</v>
      </c>
      <c r="V37" s="7">
        <v>5.9677562385461025</v>
      </c>
      <c r="W37" s="7">
        <v>11.443883169950173</v>
      </c>
      <c r="X37" s="7">
        <v>24.718918354548656</v>
      </c>
      <c r="Y37" s="7">
        <v>18.081399370882025</v>
      </c>
      <c r="Z37" s="7">
        <v>5.812611596401842</v>
      </c>
      <c r="AA37" s="7">
        <v>6.648799182086243</v>
      </c>
      <c r="AB37" s="7">
        <v>6.230705703318211</v>
      </c>
      <c r="AC37" s="7">
        <v>7.079106981403447</v>
      </c>
      <c r="AD37" s="7">
        <v>19.860352440130395</v>
      </c>
      <c r="AE37" s="7">
        <v>13.469729710766924</v>
      </c>
      <c r="AF37" s="7">
        <v>1.1481314514892187</v>
      </c>
      <c r="AG37" s="7">
        <v>1.3354180456347424</v>
      </c>
      <c r="AH37" s="7">
        <v>1.2417744402991826</v>
      </c>
      <c r="AI37" s="7">
        <v>3.2790062462952307</v>
      </c>
      <c r="AJ37" s="7">
        <v>12.39860916963372</v>
      </c>
      <c r="AK37" s="7">
        <v>7.838807707964473</v>
      </c>
      <c r="AL37" s="7">
        <v>0.11935233439798922</v>
      </c>
      <c r="AM37" s="7">
        <v>0.17670700434109224</v>
      </c>
      <c r="AN37" s="7">
        <v>0.1480290923076124</v>
      </c>
      <c r="AO37" s="7">
        <v>3.653458254120651</v>
      </c>
      <c r="AP37" s="7">
        <v>7.2841657660436825</v>
      </c>
      <c r="AQ37" s="7">
        <v>5.468811951807778</v>
      </c>
      <c r="AR37" s="7">
        <v>7.969846975771754</v>
      </c>
      <c r="AS37" s="7">
        <v>18.094281459081554</v>
      </c>
      <c r="AT37" s="7">
        <v>13.032064961868304</v>
      </c>
      <c r="AU37" s="7">
        <v>5.933369962814408</v>
      </c>
      <c r="AV37" s="7">
        <v>6.834235622603177</v>
      </c>
      <c r="AW37" s="7">
        <v>6.383802792708791</v>
      </c>
      <c r="AX37" s="7">
        <v>6.439753152868519</v>
      </c>
      <c r="AY37" s="7">
        <v>18.965770294751568</v>
      </c>
      <c r="AZ37" s="7">
        <v>12.702762579064576</v>
      </c>
      <c r="BA37" s="7">
        <v>1.224359554485029</v>
      </c>
      <c r="BB37" s="7">
        <v>1.4167477618029587</v>
      </c>
      <c r="BC37" s="7">
        <v>1.3205537649570862</v>
      </c>
      <c r="BD37" s="7">
        <v>4.405897992318835</v>
      </c>
      <c r="BE37" s="7">
        <v>19.00723136872339</v>
      </c>
      <c r="BF37" s="7">
        <v>11.706564680521112</v>
      </c>
      <c r="BG37" s="7">
        <v>0.10228271578802718</v>
      </c>
      <c r="BH37" s="7">
        <v>0.1502937391465952</v>
      </c>
      <c r="BI37" s="7">
        <v>0.12628833028061845</v>
      </c>
      <c r="BJ37" s="7">
        <v>2.363132789786929</v>
      </c>
      <c r="BK37" s="7">
        <v>4.737391699071003</v>
      </c>
      <c r="BL37" s="7">
        <v>3.5502622444289664</v>
      </c>
      <c r="BM37" s="56">
        <v>25847.632265684562</v>
      </c>
      <c r="BN37" s="56">
        <v>41072.94567203819</v>
      </c>
      <c r="BO37" s="56">
        <v>33460.2889682981</v>
      </c>
      <c r="BP37" s="56">
        <v>116297.12185978345</v>
      </c>
      <c r="BQ37" s="56">
        <v>278453.94171952095</v>
      </c>
      <c r="BR37" s="56">
        <v>197375.531788965</v>
      </c>
      <c r="BS37" s="7">
        <f t="shared" si="0"/>
        <v>13.096761421967335</v>
      </c>
      <c r="BT37" s="56">
        <v>29884786.765519217</v>
      </c>
      <c r="BU37" s="8">
        <v>29886463.3724</v>
      </c>
      <c r="BV37" s="57">
        <f t="shared" si="32"/>
        <v>99.99439007934832</v>
      </c>
      <c r="BW37">
        <v>103542.0891391</v>
      </c>
      <c r="BX37">
        <v>2553202.9210781995</v>
      </c>
      <c r="BY37">
        <v>23362018.14245122</v>
      </c>
      <c r="BZ37">
        <v>3341566.3036511005</v>
      </c>
      <c r="CA37">
        <v>567090.90528918</v>
      </c>
      <c r="CB37">
        <v>226953.54442700002</v>
      </c>
      <c r="CC37">
        <v>0</v>
      </c>
      <c r="CD37">
        <v>0</v>
      </c>
      <c r="CE37" s="7">
        <v>0.34647089822493193</v>
      </c>
      <c r="CF37" s="7">
        <v>8.543487163254786</v>
      </c>
      <c r="CG37" s="7">
        <v>78.17361497591843</v>
      </c>
      <c r="CH37" s="7">
        <v>11.181496223712621</v>
      </c>
      <c r="CI37" s="7">
        <v>1.8975906026657152</v>
      </c>
      <c r="CJ37" s="7">
        <v>0.7594283546598929</v>
      </c>
      <c r="CK37" s="7">
        <v>0</v>
      </c>
      <c r="CL37" s="7">
        <v>0</v>
      </c>
      <c r="CM37" s="7">
        <v>27.473810822074586</v>
      </c>
      <c r="CN37" s="56">
        <f t="shared" si="2"/>
        <v>772494.3149716461</v>
      </c>
      <c r="CO37" s="56">
        <f t="shared" si="3"/>
        <v>12275250.864239445</v>
      </c>
      <c r="CP37" s="56">
        <f t="shared" si="4"/>
        <v>1000009.7006809608</v>
      </c>
      <c r="CQ37" s="6">
        <f t="shared" si="5"/>
        <v>6.762345964856333</v>
      </c>
      <c r="CR37" s="6">
        <f t="shared" si="6"/>
        <v>9.973120048964706</v>
      </c>
      <c r="CS37" s="6">
        <f t="shared" si="7"/>
        <v>8.367721624943613</v>
      </c>
      <c r="CT37" s="58">
        <f t="shared" si="8"/>
        <v>5134720.655238205</v>
      </c>
      <c r="CU37" s="58">
        <f t="shared" si="9"/>
        <v>7572695.301116154</v>
      </c>
      <c r="CV37" s="58">
        <f t="shared" si="10"/>
        <v>6353699.335729591</v>
      </c>
      <c r="CW37">
        <f t="shared" si="11"/>
        <v>3475709672.7779574</v>
      </c>
      <c r="CX37">
        <f t="shared" si="12"/>
        <v>8322003530.100867</v>
      </c>
      <c r="CY37">
        <f t="shared" si="13"/>
        <v>5898856601.418874</v>
      </c>
      <c r="CZ37" s="59">
        <v>132.985</v>
      </c>
      <c r="DA37" s="59">
        <v>10.0028</v>
      </c>
      <c r="DB37" s="6">
        <v>1.72</v>
      </c>
      <c r="DC37" s="6">
        <v>11.88</v>
      </c>
      <c r="DD37" s="6">
        <v>2.23</v>
      </c>
      <c r="DE37" s="6">
        <v>54.08</v>
      </c>
      <c r="DF37" s="6">
        <v>0.2</v>
      </c>
      <c r="DG37" s="6">
        <v>10.55</v>
      </c>
      <c r="DH37" s="6">
        <v>15.07</v>
      </c>
      <c r="DI37" s="6">
        <v>0</v>
      </c>
      <c r="DJ37" s="6">
        <v>0.17</v>
      </c>
      <c r="DK37" s="6">
        <v>3.52</v>
      </c>
      <c r="DL37" s="6">
        <v>0</v>
      </c>
      <c r="DM37" s="6">
        <v>0.49</v>
      </c>
      <c r="DN37" s="6">
        <v>0.08</v>
      </c>
      <c r="DO37" s="6">
        <v>0.01</v>
      </c>
      <c r="DP37" s="6">
        <v>142.621</v>
      </c>
      <c r="DQ37" t="s">
        <v>433</v>
      </c>
      <c r="DR37" t="s">
        <v>434</v>
      </c>
      <c r="DS37" s="59">
        <v>1</v>
      </c>
      <c r="DT37">
        <v>1</v>
      </c>
      <c r="DU37">
        <f t="shared" si="14"/>
        <v>1</v>
      </c>
      <c r="DV37">
        <f t="shared" si="15"/>
        <v>0</v>
      </c>
      <c r="DW37">
        <f t="shared" si="16"/>
        <v>0</v>
      </c>
      <c r="DX37">
        <f t="shared" si="17"/>
        <v>1.4655284</v>
      </c>
      <c r="DY37" s="59">
        <f t="shared" si="18"/>
        <v>43799.46084781198</v>
      </c>
      <c r="DZ37">
        <f t="shared" si="20"/>
        <v>43799.46084781198</v>
      </c>
      <c r="EA37">
        <f t="shared" si="21"/>
        <v>772494.3149716461</v>
      </c>
      <c r="EB37">
        <f t="shared" si="22"/>
        <v>12275250.864239445</v>
      </c>
      <c r="EC37">
        <f t="shared" si="23"/>
        <v>1000009.7006809608</v>
      </c>
      <c r="ED37" s="7">
        <f t="shared" si="19"/>
        <v>4.772093580390305</v>
      </c>
      <c r="EE37">
        <f t="shared" si="24"/>
        <v>0</v>
      </c>
      <c r="EF37">
        <f t="shared" si="25"/>
        <v>0</v>
      </c>
      <c r="EG37">
        <f t="shared" si="26"/>
        <v>0</v>
      </c>
      <c r="EH37">
        <f t="shared" si="27"/>
        <v>0</v>
      </c>
      <c r="EI37">
        <f t="shared" si="28"/>
        <v>43799.46084781198</v>
      </c>
      <c r="EJ37">
        <f t="shared" si="29"/>
        <v>772494.3149716461</v>
      </c>
      <c r="EK37">
        <f t="shared" si="30"/>
        <v>12275250.864239445</v>
      </c>
      <c r="EL37">
        <f t="shared" si="31"/>
        <v>1000009.7006809608</v>
      </c>
    </row>
    <row r="38" spans="1:142" ht="12.75">
      <c r="A38" s="55" t="s">
        <v>496</v>
      </c>
      <c r="B38" t="s">
        <v>497</v>
      </c>
      <c r="C38" s="7">
        <v>25.04517462986939</v>
      </c>
      <c r="D38" s="7">
        <v>15.053376361336195</v>
      </c>
      <c r="E38" s="7">
        <v>5.1</v>
      </c>
      <c r="F38" s="7">
        <v>5.999440199156336</v>
      </c>
      <c r="G38" s="7">
        <v>5.549720099578168</v>
      </c>
      <c r="H38" s="7">
        <v>4.974006148087795</v>
      </c>
      <c r="I38" s="7">
        <v>9.988803983126726</v>
      </c>
      <c r="J38" s="7">
        <v>7.481405065607261</v>
      </c>
      <c r="K38" s="7">
        <v>0.8497361558571149</v>
      </c>
      <c r="L38" s="7">
        <v>1.099848116025848</v>
      </c>
      <c r="M38" s="7">
        <v>0.9747921359414814</v>
      </c>
      <c r="N38" s="7">
        <v>2.0143013917432655</v>
      </c>
      <c r="O38" s="7">
        <v>6.051062512620025</v>
      </c>
      <c r="P38" s="7">
        <v>4.032681952181645</v>
      </c>
      <c r="Q38" s="7">
        <v>0.06009034925973879</v>
      </c>
      <c r="R38" s="7">
        <v>0.10001996190270977</v>
      </c>
      <c r="S38" s="7">
        <v>0.0800551555812243</v>
      </c>
      <c r="T38" s="7">
        <v>1.032468448932493</v>
      </c>
      <c r="U38" s="7">
        <v>3.0597381274825444</v>
      </c>
      <c r="V38" s="7">
        <v>2.0461032882075187</v>
      </c>
      <c r="W38" s="7">
        <v>13.351585023611896</v>
      </c>
      <c r="X38" s="7">
        <v>30.019180777957185</v>
      </c>
      <c r="Y38" s="7">
        <v>21.68538787479069</v>
      </c>
      <c r="Z38" s="7">
        <v>5.266823313114138</v>
      </c>
      <c r="AA38" s="7">
        <v>5.999440199156336</v>
      </c>
      <c r="AB38" s="7">
        <v>5.633126782129089</v>
      </c>
      <c r="AC38" s="7">
        <v>4.974006148087795</v>
      </c>
      <c r="AD38" s="7">
        <v>9.980645645736498</v>
      </c>
      <c r="AE38" s="7">
        <v>7.477325896912147</v>
      </c>
      <c r="AF38" s="7">
        <v>1.1334713454440595</v>
      </c>
      <c r="AG38" s="7">
        <v>1.3999527027244065</v>
      </c>
      <c r="AH38" s="7">
        <v>1.2667169980903812</v>
      </c>
      <c r="AI38" s="7">
        <v>1.3843187995343316</v>
      </c>
      <c r="AJ38" s="7">
        <v>4.259003003872568</v>
      </c>
      <c r="AK38" s="7">
        <v>2.8216559276973014</v>
      </c>
      <c r="AL38" s="7">
        <v>0.05990574143678293</v>
      </c>
      <c r="AM38" s="7">
        <v>0.09984829337599188</v>
      </c>
      <c r="AN38" s="7">
        <v>0.0798770174063874</v>
      </c>
      <c r="AO38" s="7">
        <v>0.8656451358183559</v>
      </c>
      <c r="AP38" s="7">
        <v>2.39449440738585</v>
      </c>
      <c r="AQ38" s="7">
        <v>1.6300697716021026</v>
      </c>
      <c r="AR38" s="7">
        <v>29.931608833241977</v>
      </c>
      <c r="AS38" s="7">
        <v>39.96719307413278</v>
      </c>
      <c r="AT38" s="7">
        <v>34.94940095368737</v>
      </c>
      <c r="AU38" s="7">
        <v>5.599440199156337</v>
      </c>
      <c r="AV38" s="7">
        <v>5.999440199156336</v>
      </c>
      <c r="AW38" s="7">
        <v>5.799440199156336</v>
      </c>
      <c r="AX38" s="7">
        <v>4.974006148087795</v>
      </c>
      <c r="AY38" s="7">
        <v>9.972487308346272</v>
      </c>
      <c r="AZ38" s="7">
        <v>7.473246728217033</v>
      </c>
      <c r="BA38" s="7">
        <v>1.6986443273200231</v>
      </c>
      <c r="BB38" s="7">
        <v>1.9981244502817792</v>
      </c>
      <c r="BC38" s="7">
        <v>1.8483843888009013</v>
      </c>
      <c r="BD38" s="7">
        <v>0.08929578525585606</v>
      </c>
      <c r="BE38" s="7">
        <v>0.48999697703497264</v>
      </c>
      <c r="BF38" s="7">
        <v>0.2896463811454143</v>
      </c>
      <c r="BG38" s="7">
        <v>0.05980324520157563</v>
      </c>
      <c r="BH38" s="7">
        <v>0.0997624535146245</v>
      </c>
      <c r="BI38" s="7">
        <v>0.07978284935810007</v>
      </c>
      <c r="BJ38" s="7">
        <v>0.5330282497761565</v>
      </c>
      <c r="BK38" s="7">
        <v>1.066056499552313</v>
      </c>
      <c r="BL38" s="7">
        <v>0.7995423746642348</v>
      </c>
      <c r="BM38" s="56">
        <v>17185.099047201726</v>
      </c>
      <c r="BN38" s="56">
        <v>35223.30984316878</v>
      </c>
      <c r="BO38" s="56">
        <v>26204.204450159257</v>
      </c>
      <c r="BP38" s="56">
        <v>455361.82027879934</v>
      </c>
      <c r="BQ38" s="56">
        <v>756294.3452696453</v>
      </c>
      <c r="BR38" s="56">
        <v>605828.0827692483</v>
      </c>
      <c r="BS38" s="7">
        <f t="shared" si="0"/>
        <v>7.476510063173124</v>
      </c>
      <c r="BT38" s="56">
        <v>2339962.091735432</v>
      </c>
      <c r="BU38" s="8">
        <v>2337494.78229</v>
      </c>
      <c r="BV38" s="57">
        <f t="shared" si="32"/>
        <v>100.10555358087323</v>
      </c>
      <c r="BW38">
        <v>0</v>
      </c>
      <c r="BX38">
        <v>0</v>
      </c>
      <c r="BY38">
        <v>2327797.166116883</v>
      </c>
      <c r="BZ38">
        <v>9545.10011236</v>
      </c>
      <c r="CA38">
        <v>2619.8255061890004</v>
      </c>
      <c r="CB38">
        <v>0</v>
      </c>
      <c r="CC38">
        <v>0</v>
      </c>
      <c r="CD38">
        <v>0</v>
      </c>
      <c r="CE38" s="7">
        <v>0</v>
      </c>
      <c r="CF38" s="7">
        <v>0</v>
      </c>
      <c r="CG38" s="7">
        <v>99.4801229617559</v>
      </c>
      <c r="CH38" s="7">
        <v>0.4079168695113723</v>
      </c>
      <c r="CI38" s="7">
        <v>0.11196016873273396</v>
      </c>
      <c r="CJ38" s="7">
        <v>0</v>
      </c>
      <c r="CK38" s="7">
        <v>0</v>
      </c>
      <c r="CL38" s="7">
        <v>0</v>
      </c>
      <c r="CM38" s="7">
        <v>0.11196016873273394</v>
      </c>
      <c r="CN38" s="56">
        <f t="shared" si="2"/>
        <v>40170.07935597088</v>
      </c>
      <c r="CO38" s="56">
        <f t="shared" si="3"/>
        <v>823343.0297339102</v>
      </c>
      <c r="CP38" s="56">
        <f t="shared" si="4"/>
        <v>61252.191176307664</v>
      </c>
      <c r="CQ38" s="6">
        <f t="shared" si="5"/>
        <v>3.594099870437471</v>
      </c>
      <c r="CR38" s="6">
        <f t="shared" si="6"/>
        <v>5.990897468207311</v>
      </c>
      <c r="CS38" s="6">
        <f t="shared" si="7"/>
        <v>4.7924986693223905</v>
      </c>
      <c r="CT38" s="58">
        <f t="shared" si="8"/>
        <v>213444.8601162793</v>
      </c>
      <c r="CU38" s="58">
        <f t="shared" si="9"/>
        <v>355784.8468792927</v>
      </c>
      <c r="CV38" s="58">
        <f t="shared" si="10"/>
        <v>284614.853497786</v>
      </c>
      <c r="CW38">
        <f t="shared" si="11"/>
        <v>1064405878.9557701</v>
      </c>
      <c r="CX38">
        <f t="shared" si="12"/>
        <v>1767834085.9432278</v>
      </c>
      <c r="CY38">
        <f t="shared" si="13"/>
        <v>1416119982.4378722</v>
      </c>
      <c r="CZ38" s="59">
        <v>111.759</v>
      </c>
      <c r="DA38" s="59">
        <v>9.91895</v>
      </c>
      <c r="DB38" s="6">
        <v>0</v>
      </c>
      <c r="DC38" s="6">
        <v>1.04</v>
      </c>
      <c r="DD38" s="6">
        <v>12.56</v>
      </c>
      <c r="DE38" s="6">
        <v>6.32</v>
      </c>
      <c r="DF38" s="6">
        <v>0</v>
      </c>
      <c r="DG38" s="6">
        <v>65.29</v>
      </c>
      <c r="DH38" s="6">
        <v>12.29</v>
      </c>
      <c r="DI38" s="6">
        <v>0</v>
      </c>
      <c r="DJ38" s="6">
        <v>0.04</v>
      </c>
      <c r="DK38" s="6">
        <v>1.93</v>
      </c>
      <c r="DL38" s="6">
        <v>0</v>
      </c>
      <c r="DM38" s="6">
        <v>0.5</v>
      </c>
      <c r="DN38" s="6">
        <v>0.04</v>
      </c>
      <c r="DO38" s="6">
        <v>0</v>
      </c>
      <c r="DP38" s="6">
        <v>107.813</v>
      </c>
      <c r="DQ38" t="s">
        <v>422</v>
      </c>
      <c r="DR38" t="s">
        <v>423</v>
      </c>
      <c r="DS38" s="59">
        <v>1</v>
      </c>
      <c r="DT38">
        <v>1</v>
      </c>
      <c r="DU38">
        <f t="shared" si="14"/>
        <v>1</v>
      </c>
      <c r="DV38">
        <f t="shared" si="15"/>
        <v>0</v>
      </c>
      <c r="DW38">
        <f t="shared" si="16"/>
        <v>0</v>
      </c>
      <c r="DX38">
        <f t="shared" si="17"/>
        <v>1.47741496</v>
      </c>
      <c r="DY38" s="59">
        <f t="shared" si="18"/>
        <v>3453.449760277189</v>
      </c>
      <c r="DZ38">
        <f t="shared" si="20"/>
        <v>3453.449760277189</v>
      </c>
      <c r="EA38">
        <f t="shared" si="21"/>
        <v>40170.07935597088</v>
      </c>
      <c r="EB38">
        <f t="shared" si="22"/>
        <v>823343.0297339102</v>
      </c>
      <c r="EC38">
        <f t="shared" si="23"/>
        <v>61252.191176307664</v>
      </c>
      <c r="ED38" s="7">
        <f t="shared" si="19"/>
        <v>46.12331151147111</v>
      </c>
      <c r="EE38">
        <f t="shared" si="24"/>
        <v>0</v>
      </c>
      <c r="EF38">
        <f t="shared" si="25"/>
        <v>0</v>
      </c>
      <c r="EG38">
        <f t="shared" si="26"/>
        <v>0</v>
      </c>
      <c r="EH38">
        <f t="shared" si="27"/>
        <v>0</v>
      </c>
      <c r="EI38">
        <f t="shared" si="28"/>
        <v>3453.449760277189</v>
      </c>
      <c r="EJ38">
        <f t="shared" si="29"/>
        <v>40170.07935597088</v>
      </c>
      <c r="EK38">
        <f t="shared" si="30"/>
        <v>823343.0297339102</v>
      </c>
      <c r="EL38">
        <f t="shared" si="31"/>
        <v>61252.191176307664</v>
      </c>
    </row>
    <row r="39" spans="1:170" ht="12.75">
      <c r="A39" s="72" t="s">
        <v>498</v>
      </c>
      <c r="B39" t="s">
        <v>499</v>
      </c>
      <c r="C39" s="7">
        <v>36.915689730739466</v>
      </c>
      <c r="D39" s="7">
        <v>27.271195930558605</v>
      </c>
      <c r="E39" s="7">
        <v>5.743157026323021</v>
      </c>
      <c r="F39" s="7">
        <v>6.37478052533334</v>
      </c>
      <c r="G39" s="7">
        <v>6.058968775828182</v>
      </c>
      <c r="H39" s="7">
        <v>4.691438244282035</v>
      </c>
      <c r="I39" s="7">
        <v>12.810573225570375</v>
      </c>
      <c r="J39" s="7">
        <v>8.751005734926204</v>
      </c>
      <c r="K39" s="7">
        <v>1.0087651217264102</v>
      </c>
      <c r="L39" s="7">
        <v>1.21720239512318</v>
      </c>
      <c r="M39" s="7">
        <v>1.1129837584247955</v>
      </c>
      <c r="N39" s="7">
        <v>3.907350001698161</v>
      </c>
      <c r="O39" s="7">
        <v>13.02450000566054</v>
      </c>
      <c r="P39" s="7">
        <v>8.465925003679352</v>
      </c>
      <c r="Q39" s="7">
        <v>0.11604594903548118</v>
      </c>
      <c r="R39" s="7">
        <v>0.17886272480314586</v>
      </c>
      <c r="S39" s="7">
        <v>0.1474543369193135</v>
      </c>
      <c r="T39" s="7">
        <v>2.7584949861680457</v>
      </c>
      <c r="U39" s="7">
        <v>6.492515615272478</v>
      </c>
      <c r="V39" s="7">
        <v>4.625505300720262</v>
      </c>
      <c r="W39" s="7">
        <v>7.427781892288541</v>
      </c>
      <c r="X39" s="7">
        <v>16.199327489140952</v>
      </c>
      <c r="Y39" s="7">
        <v>11.81355474547091</v>
      </c>
      <c r="Z39" s="7">
        <v>5.974072641388581</v>
      </c>
      <c r="AA39" s="7">
        <v>6.633031833956563</v>
      </c>
      <c r="AB39" s="7">
        <v>6.303552446024494</v>
      </c>
      <c r="AC39" s="7">
        <v>4.7362332343253275</v>
      </c>
      <c r="AD39" s="7">
        <v>12.968022953173215</v>
      </c>
      <c r="AE39" s="7">
        <v>8.85212809374927</v>
      </c>
      <c r="AF39" s="7">
        <v>1.263202777377164</v>
      </c>
      <c r="AG39" s="7">
        <v>1.4679648415524893</v>
      </c>
      <c r="AH39" s="7">
        <v>1.365583325372315</v>
      </c>
      <c r="AI39" s="7">
        <v>10.462034021948442</v>
      </c>
      <c r="AJ39" s="7">
        <v>50.63321594794679</v>
      </c>
      <c r="AK39" s="7">
        <v>30.547624984947618</v>
      </c>
      <c r="AL39" s="7">
        <v>0.08765350981385923</v>
      </c>
      <c r="AM39" s="7">
        <v>0.14267832643191586</v>
      </c>
      <c r="AN39" s="7">
        <v>0.11517003485043871</v>
      </c>
      <c r="AO39" s="7">
        <v>2.2324704071737616</v>
      </c>
      <c r="AP39" s="7">
        <v>4.361940796535413</v>
      </c>
      <c r="AQ39" s="7">
        <v>3.2972046585716805</v>
      </c>
      <c r="AR39" s="7">
        <v>4.3796509273576065</v>
      </c>
      <c r="AS39" s="7">
        <v>13.18012735935144</v>
      </c>
      <c r="AT39" s="7">
        <v>8.77988899132997</v>
      </c>
      <c r="AU39" s="7">
        <v>6.1182958646936765</v>
      </c>
      <c r="AV39" s="7">
        <v>6.771080568365614</v>
      </c>
      <c r="AW39" s="7">
        <v>6.444688216529645</v>
      </c>
      <c r="AX39" s="7">
        <v>4.445779752028467</v>
      </c>
      <c r="AY39" s="7">
        <v>12.01641225310831</v>
      </c>
      <c r="AZ39" s="7">
        <v>8.231095850543834</v>
      </c>
      <c r="BA39" s="7">
        <v>1.365091250684429</v>
      </c>
      <c r="BB39" s="7">
        <v>1.576213900821938</v>
      </c>
      <c r="BC39" s="7">
        <v>1.4706525757531834</v>
      </c>
      <c r="BD39" s="7">
        <v>12.399682454413545</v>
      </c>
      <c r="BE39" s="7">
        <v>61.70665662131454</v>
      </c>
      <c r="BF39" s="7">
        <v>37.05316953786404</v>
      </c>
      <c r="BG39" s="7">
        <v>0.07180110574298029</v>
      </c>
      <c r="BH39" s="7">
        <v>0.11584469812791882</v>
      </c>
      <c r="BI39" s="7">
        <v>0.09382290193544958</v>
      </c>
      <c r="BJ39" s="7">
        <v>1.574885737322955</v>
      </c>
      <c r="BK39" s="7">
        <v>3.065161158872019</v>
      </c>
      <c r="BL39" s="7">
        <v>2.320023448097487</v>
      </c>
      <c r="BM39" s="56">
        <v>23776.04640398758</v>
      </c>
      <c r="BN39" s="56">
        <v>44309.79134731363</v>
      </c>
      <c r="BO39" s="56">
        <v>34042.91887707798</v>
      </c>
      <c r="BP39" s="56">
        <v>116438.47798514522</v>
      </c>
      <c r="BQ39" s="56">
        <v>304688.3457518552</v>
      </c>
      <c r="BR39" s="56">
        <v>210563.41186898423</v>
      </c>
      <c r="BS39" s="7">
        <f t="shared" si="0"/>
        <v>8.583490724702482</v>
      </c>
      <c r="BT39" s="56">
        <v>27783523.581254013</v>
      </c>
      <c r="BU39" s="8">
        <v>27781253.01</v>
      </c>
      <c r="BV39" s="57">
        <f t="shared" si="32"/>
        <v>100.00817303399955</v>
      </c>
      <c r="BW39">
        <v>0</v>
      </c>
      <c r="BX39">
        <v>805314.36579</v>
      </c>
      <c r="BY39">
        <v>24721228.447275907</v>
      </c>
      <c r="BZ39">
        <v>1813531.9690652003</v>
      </c>
      <c r="CA39">
        <v>202115.67394639997</v>
      </c>
      <c r="CB39">
        <v>773526.1742485</v>
      </c>
      <c r="CC39">
        <v>0</v>
      </c>
      <c r="CD39">
        <v>0</v>
      </c>
      <c r="CE39" s="7">
        <v>0</v>
      </c>
      <c r="CF39" s="7">
        <v>2.8985321585825004</v>
      </c>
      <c r="CG39" s="7">
        <v>88.97801740293198</v>
      </c>
      <c r="CH39" s="7">
        <v>6.527364910219016</v>
      </c>
      <c r="CI39" s="7">
        <v>0.7274659506570673</v>
      </c>
      <c r="CJ39" s="7">
        <v>2.784118335409446</v>
      </c>
      <c r="CK39" s="7">
        <v>0</v>
      </c>
      <c r="CL39" s="7">
        <v>0</v>
      </c>
      <c r="CM39" s="7">
        <v>26.030436451370317</v>
      </c>
      <c r="CN39" s="56">
        <f t="shared" si="2"/>
        <v>660528.3607266797</v>
      </c>
      <c r="CO39" s="56">
        <f t="shared" si="3"/>
        <v>12309815.242400289</v>
      </c>
      <c r="CP39" s="56">
        <f t="shared" si="4"/>
        <v>945754.9425230086</v>
      </c>
      <c r="CQ39" s="6">
        <f t="shared" si="5"/>
        <v>5.219462161789923</v>
      </c>
      <c r="CR39" s="6">
        <f t="shared" si="6"/>
        <v>8.350905287073783</v>
      </c>
      <c r="CS39" s="6">
        <f t="shared" si="7"/>
        <v>6.785282525893081</v>
      </c>
      <c r="CT39" s="58">
        <f t="shared" si="8"/>
        <v>3684024.3621140094</v>
      </c>
      <c r="CU39" s="58">
        <f t="shared" si="9"/>
        <v>5894273.6951916525</v>
      </c>
      <c r="CV39" s="58">
        <f t="shared" si="10"/>
        <v>4789218.765146533</v>
      </c>
      <c r="CW39">
        <f t="shared" si="11"/>
        <v>3234806817.004635</v>
      </c>
      <c r="CX39">
        <f t="shared" si="12"/>
        <v>8464624022.530647</v>
      </c>
      <c r="CY39">
        <f t="shared" si="13"/>
        <v>5849715419.781088</v>
      </c>
      <c r="CZ39" s="59">
        <v>121.692</v>
      </c>
      <c r="DA39" s="59">
        <v>7.93059</v>
      </c>
      <c r="DB39" s="6">
        <v>4.83</v>
      </c>
      <c r="DC39" s="6">
        <v>13.74</v>
      </c>
      <c r="DD39" s="6">
        <v>4.62</v>
      </c>
      <c r="DE39" s="6">
        <v>20.92</v>
      </c>
      <c r="DF39" s="6">
        <v>0.54</v>
      </c>
      <c r="DG39" s="6">
        <v>36.87</v>
      </c>
      <c r="DH39" s="6">
        <v>12.42</v>
      </c>
      <c r="DI39" s="6">
        <v>0</v>
      </c>
      <c r="DJ39" s="6">
        <v>0.08</v>
      </c>
      <c r="DK39" s="6">
        <v>4.75</v>
      </c>
      <c r="DL39" s="6">
        <v>0</v>
      </c>
      <c r="DM39" s="6">
        <v>1.13</v>
      </c>
      <c r="DN39" s="6">
        <v>0.01</v>
      </c>
      <c r="DO39" s="6">
        <v>0.09</v>
      </c>
      <c r="DP39" s="6">
        <v>9.51679</v>
      </c>
      <c r="DQ39" t="s">
        <v>433</v>
      </c>
      <c r="DR39" t="s">
        <v>434</v>
      </c>
      <c r="DS39" s="59">
        <v>1</v>
      </c>
      <c r="DT39">
        <v>1</v>
      </c>
      <c r="DU39">
        <f t="shared" si="14"/>
        <v>1</v>
      </c>
      <c r="DV39">
        <f t="shared" si="15"/>
        <v>0</v>
      </c>
      <c r="DW39">
        <f t="shared" si="16"/>
        <v>0</v>
      </c>
      <c r="DX39">
        <f t="shared" si="17"/>
        <v>1.4718524800000001</v>
      </c>
      <c r="DY39" s="59">
        <f t="shared" si="18"/>
        <v>40889.90614027597</v>
      </c>
      <c r="DZ39">
        <f t="shared" si="20"/>
        <v>40889.90614027597</v>
      </c>
      <c r="EA39">
        <f t="shared" si="21"/>
        <v>660528.3607266797</v>
      </c>
      <c r="EB39">
        <f t="shared" si="22"/>
        <v>12309815.242400289</v>
      </c>
      <c r="EC39">
        <f t="shared" si="23"/>
        <v>945754.9425230086</v>
      </c>
      <c r="ED39" s="7">
        <f t="shared" si="19"/>
        <v>0.3425615826821916</v>
      </c>
      <c r="EE39">
        <f t="shared" si="24"/>
        <v>0</v>
      </c>
      <c r="EF39">
        <f t="shared" si="25"/>
        <v>0</v>
      </c>
      <c r="EG39">
        <f t="shared" si="26"/>
        <v>0</v>
      </c>
      <c r="EH39">
        <f t="shared" si="27"/>
        <v>0</v>
      </c>
      <c r="EI39">
        <f t="shared" si="28"/>
        <v>40889.90614027597</v>
      </c>
      <c r="EJ39">
        <f t="shared" si="29"/>
        <v>660528.3607266797</v>
      </c>
      <c r="EK39">
        <f t="shared" si="30"/>
        <v>12309815.242400289</v>
      </c>
      <c r="EL39">
        <f t="shared" si="31"/>
        <v>945754.9425230086</v>
      </c>
      <c r="EM39" s="59"/>
      <c r="EN39" s="59"/>
      <c r="EO39" s="59"/>
      <c r="EP39" s="59"/>
      <c r="EQ39" s="59"/>
      <c r="ER39" s="59"/>
      <c r="ES39" s="59"/>
      <c r="ET39" s="59"/>
      <c r="EU39" s="73"/>
      <c r="EV39" s="59"/>
      <c r="EW39" s="59"/>
      <c r="EX39" s="59"/>
      <c r="EY39" s="59"/>
      <c r="EZ39" s="59"/>
      <c r="FA39" s="59"/>
      <c r="FB39" s="73"/>
      <c r="FC39" s="59"/>
      <c r="FD39" s="59"/>
      <c r="FE39" s="59"/>
      <c r="FF39" s="59"/>
      <c r="FG39" s="59"/>
      <c r="FH39" s="59"/>
      <c r="FI39" s="59"/>
      <c r="FJ39" s="59"/>
      <c r="FK39" s="59"/>
      <c r="FL39" s="59"/>
      <c r="FM39" s="59"/>
      <c r="FN39" s="59"/>
    </row>
    <row r="40" spans="1:142" ht="12.75">
      <c r="A40" s="55" t="s">
        <v>500</v>
      </c>
      <c r="B40" t="s">
        <v>501</v>
      </c>
      <c r="C40" s="7">
        <v>23.234617474583906</v>
      </c>
      <c r="D40" s="7">
        <v>14.041801717840602</v>
      </c>
      <c r="E40" s="7">
        <v>5.233177195863358</v>
      </c>
      <c r="F40" s="7">
        <v>6.165524289725349</v>
      </c>
      <c r="G40" s="7">
        <v>5.699350742794354</v>
      </c>
      <c r="H40" s="7">
        <v>5.152121044486027</v>
      </c>
      <c r="I40" s="7">
        <v>11.192290385614069</v>
      </c>
      <c r="J40" s="7">
        <v>8.172205715050046</v>
      </c>
      <c r="K40" s="7">
        <v>0.9141072142487727</v>
      </c>
      <c r="L40" s="7">
        <v>1.156221814310039</v>
      </c>
      <c r="M40" s="7">
        <v>1.0351645142794057</v>
      </c>
      <c r="N40" s="7">
        <v>1.8109298357543089</v>
      </c>
      <c r="O40" s="7">
        <v>5.465016251687692</v>
      </c>
      <c r="P40" s="7">
        <v>3.637973043721</v>
      </c>
      <c r="Q40" s="7">
        <v>0.0599497924094647</v>
      </c>
      <c r="R40" s="7">
        <v>0.1000886101846062</v>
      </c>
      <c r="S40" s="7">
        <v>0.08001920129703549</v>
      </c>
      <c r="T40" s="7">
        <v>1.0349153216295233</v>
      </c>
      <c r="U40" s="7">
        <v>2.9287974559340557</v>
      </c>
      <c r="V40" s="7">
        <v>1.98185638878179</v>
      </c>
      <c r="W40" s="7">
        <v>11.967610248856387</v>
      </c>
      <c r="X40" s="7">
        <v>27.472082416467355</v>
      </c>
      <c r="Y40" s="7">
        <v>19.71985061828588</v>
      </c>
      <c r="Z40" s="7">
        <v>5.37655190935083</v>
      </c>
      <c r="AA40" s="7">
        <v>6.165524289725349</v>
      </c>
      <c r="AB40" s="7">
        <v>5.771033798382709</v>
      </c>
      <c r="AC40" s="7">
        <v>5.152121044486027</v>
      </c>
      <c r="AD40" s="7">
        <v>11.192290385614069</v>
      </c>
      <c r="AE40" s="7">
        <v>8.172205715050046</v>
      </c>
      <c r="AF40" s="7">
        <v>1.157059916331963</v>
      </c>
      <c r="AG40" s="7">
        <v>1.4134110362873455</v>
      </c>
      <c r="AH40" s="7">
        <v>1.2852397619336604</v>
      </c>
      <c r="AI40" s="7">
        <v>1.2542978275936572</v>
      </c>
      <c r="AJ40" s="7">
        <v>3.8507431572744544</v>
      </c>
      <c r="AK40" s="7">
        <v>2.5525162068100493</v>
      </c>
      <c r="AL40" s="7">
        <v>0.0599497924094647</v>
      </c>
      <c r="AM40" s="7">
        <v>0.1000886101846062</v>
      </c>
      <c r="AN40" s="7">
        <v>0.08001920129703549</v>
      </c>
      <c r="AO40" s="7">
        <v>0.8795008420629069</v>
      </c>
      <c r="AP40" s="7">
        <v>2.3312276721366465</v>
      </c>
      <c r="AQ40" s="7">
        <v>1.6053642570997764</v>
      </c>
      <c r="AR40" s="7">
        <v>26.253026459939164</v>
      </c>
      <c r="AS40" s="7">
        <v>35.8622949563322</v>
      </c>
      <c r="AT40" s="7">
        <v>31.057661347082906</v>
      </c>
      <c r="AU40" s="7">
        <v>5.663292734015005</v>
      </c>
      <c r="AV40" s="7">
        <v>6.165524289725349</v>
      </c>
      <c r="AW40" s="7">
        <v>5.914408511870177</v>
      </c>
      <c r="AX40" s="7">
        <v>5.152121044486027</v>
      </c>
      <c r="AY40" s="7">
        <v>11.192290385614069</v>
      </c>
      <c r="AZ40" s="7">
        <v>8.172205715050046</v>
      </c>
      <c r="BA40" s="7">
        <v>1.6429739228091071</v>
      </c>
      <c r="BB40" s="7">
        <v>1.9277894491792087</v>
      </c>
      <c r="BC40" s="7">
        <v>1.7853816859941578</v>
      </c>
      <c r="BD40" s="7">
        <v>0.14102520896159207</v>
      </c>
      <c r="BE40" s="7">
        <v>0.6221969373852311</v>
      </c>
      <c r="BF40" s="7">
        <v>0.38161107317341164</v>
      </c>
      <c r="BG40" s="7">
        <v>0.059045043141428166</v>
      </c>
      <c r="BH40" s="7">
        <v>0.09827783375408675</v>
      </c>
      <c r="BI40" s="7">
        <v>0.07866207739498067</v>
      </c>
      <c r="BJ40" s="7">
        <v>0.5475008297913139</v>
      </c>
      <c r="BK40" s="7">
        <v>1.0937386738487884</v>
      </c>
      <c r="BL40" s="7">
        <v>0.820619751820051</v>
      </c>
      <c r="BM40" s="56">
        <v>17245.16832457796</v>
      </c>
      <c r="BN40" s="56">
        <v>34676.0052970165</v>
      </c>
      <c r="BO40" s="56">
        <v>25960.58681508286</v>
      </c>
      <c r="BP40" s="56">
        <v>401874.171571321</v>
      </c>
      <c r="BQ40" s="56">
        <v>684161.7869209738</v>
      </c>
      <c r="BR40" s="56">
        <v>543017.9792418618</v>
      </c>
      <c r="BS40" s="7">
        <f t="shared" si="0"/>
        <v>8.172205715050046</v>
      </c>
      <c r="BT40" s="56">
        <v>1695865.4793439603</v>
      </c>
      <c r="BU40" s="8">
        <v>1693174.37141</v>
      </c>
      <c r="BV40" s="57">
        <f t="shared" si="32"/>
        <v>100.1589386172742</v>
      </c>
      <c r="BW40">
        <v>0</v>
      </c>
      <c r="BX40">
        <v>18273.802629</v>
      </c>
      <c r="BY40">
        <v>1453568.36191248</v>
      </c>
      <c r="BZ40">
        <v>221981.53243518004</v>
      </c>
      <c r="CA40">
        <v>2041.7823673</v>
      </c>
      <c r="CB40">
        <v>0</v>
      </c>
      <c r="CC40">
        <v>0</v>
      </c>
      <c r="CD40">
        <v>0</v>
      </c>
      <c r="CE40" s="7">
        <v>0</v>
      </c>
      <c r="CF40" s="7">
        <v>1.077550245086017</v>
      </c>
      <c r="CG40" s="7">
        <v>85.71248012400063</v>
      </c>
      <c r="CH40" s="7">
        <v>13.089571970121877</v>
      </c>
      <c r="CI40" s="7">
        <v>0.1203976607914595</v>
      </c>
      <c r="CJ40" s="7">
        <v>0</v>
      </c>
      <c r="CK40" s="7">
        <v>0</v>
      </c>
      <c r="CL40" s="7">
        <v>0</v>
      </c>
      <c r="CM40" s="7">
        <v>1.1979479058774765</v>
      </c>
      <c r="CN40" s="56">
        <f t="shared" si="2"/>
        <v>29199.07703782693</v>
      </c>
      <c r="CO40" s="56">
        <f t="shared" si="3"/>
        <v>587125.2347178573</v>
      </c>
      <c r="CP40" s="56">
        <f t="shared" si="4"/>
        <v>43955.80026206265</v>
      </c>
      <c r="CQ40" s="6">
        <f t="shared" si="5"/>
        <v>3.5752735621350054</v>
      </c>
      <c r="CR40" s="6">
        <f t="shared" si="6"/>
        <v>5.9618579767439055</v>
      </c>
      <c r="CS40" s="6">
        <f t="shared" si="7"/>
        <v>4.768581104172814</v>
      </c>
      <c r="CT40" s="58">
        <f t="shared" si="8"/>
        <v>153799.83653929696</v>
      </c>
      <c r="CU40" s="58">
        <f t="shared" si="9"/>
        <v>256465.0694158805</v>
      </c>
      <c r="CV40" s="58">
        <f t="shared" si="10"/>
        <v>205133.1126416516</v>
      </c>
      <c r="CW40">
        <f t="shared" si="11"/>
        <v>680443047.8361859</v>
      </c>
      <c r="CX40">
        <f t="shared" si="12"/>
        <v>1158405203.5126622</v>
      </c>
      <c r="CY40">
        <f t="shared" si="13"/>
        <v>919424125.6671679</v>
      </c>
      <c r="CZ40" s="59">
        <v>80.9395</v>
      </c>
      <c r="DA40" s="59">
        <v>5.39805</v>
      </c>
      <c r="DB40" s="6">
        <v>0.37</v>
      </c>
      <c r="DC40" s="6">
        <v>6.38</v>
      </c>
      <c r="DD40" s="6">
        <v>2.71</v>
      </c>
      <c r="DE40" s="6">
        <v>39.5</v>
      </c>
      <c r="DF40" s="6">
        <v>0</v>
      </c>
      <c r="DG40" s="6">
        <v>25.2</v>
      </c>
      <c r="DH40" s="6">
        <v>10.69</v>
      </c>
      <c r="DI40" s="6">
        <v>0</v>
      </c>
      <c r="DJ40" s="6">
        <v>0.27</v>
      </c>
      <c r="DK40" s="6">
        <v>14.35</v>
      </c>
      <c r="DL40" s="6">
        <v>0</v>
      </c>
      <c r="DM40" s="6">
        <v>0.37</v>
      </c>
      <c r="DN40" s="6">
        <v>0.16</v>
      </c>
      <c r="DO40" s="6">
        <v>0</v>
      </c>
      <c r="DP40" s="6">
        <v>17.0534</v>
      </c>
      <c r="DQ40" t="s">
        <v>422</v>
      </c>
      <c r="DR40" t="s">
        <v>423</v>
      </c>
      <c r="DS40" s="59">
        <v>1</v>
      </c>
      <c r="DT40">
        <v>1</v>
      </c>
      <c r="DU40">
        <f t="shared" si="14"/>
        <v>1</v>
      </c>
      <c r="DV40">
        <f t="shared" si="15"/>
        <v>0</v>
      </c>
      <c r="DW40">
        <f t="shared" si="16"/>
        <v>0</v>
      </c>
      <c r="DX40">
        <f t="shared" si="17"/>
        <v>1.4946738800000001</v>
      </c>
      <c r="DY40" s="59">
        <f t="shared" si="18"/>
        <v>2530.743507231946</v>
      </c>
      <c r="DZ40">
        <f t="shared" si="20"/>
        <v>2530.743507231946</v>
      </c>
      <c r="EA40">
        <f t="shared" si="21"/>
        <v>29199.07703782693</v>
      </c>
      <c r="EB40">
        <f t="shared" si="22"/>
        <v>587125.2347178573</v>
      </c>
      <c r="EC40">
        <f t="shared" si="23"/>
        <v>43955.80026206265</v>
      </c>
      <c r="ED40" s="7">
        <f t="shared" si="19"/>
        <v>10.071851008351073</v>
      </c>
      <c r="EE40">
        <f t="shared" si="24"/>
        <v>0</v>
      </c>
      <c r="EF40">
        <f t="shared" si="25"/>
        <v>0</v>
      </c>
      <c r="EG40">
        <f t="shared" si="26"/>
        <v>0</v>
      </c>
      <c r="EH40">
        <f t="shared" si="27"/>
        <v>0</v>
      </c>
      <c r="EI40">
        <f t="shared" si="28"/>
        <v>2530.743507231946</v>
      </c>
      <c r="EJ40">
        <f t="shared" si="29"/>
        <v>29199.07703782693</v>
      </c>
      <c r="EK40">
        <f t="shared" si="30"/>
        <v>587125.2347178573</v>
      </c>
      <c r="EL40">
        <f t="shared" si="31"/>
        <v>43955.80026206265</v>
      </c>
    </row>
    <row r="41" spans="1:142" ht="12.75">
      <c r="A41" s="55" t="s">
        <v>502</v>
      </c>
      <c r="B41" t="s">
        <v>503</v>
      </c>
      <c r="C41" s="7">
        <v>24.827233952287987</v>
      </c>
      <c r="D41" s="7">
        <v>14.913616976143995</v>
      </c>
      <c r="E41" s="7">
        <v>5.1</v>
      </c>
      <c r="F41" s="7">
        <v>6</v>
      </c>
      <c r="G41" s="7">
        <v>5.55</v>
      </c>
      <c r="H41" s="7">
        <v>4.94241131742933</v>
      </c>
      <c r="I41" s="7">
        <v>10</v>
      </c>
      <c r="J41" s="7">
        <v>7.4712056587146645</v>
      </c>
      <c r="K41" s="7">
        <v>0.8511517736514135</v>
      </c>
      <c r="L41" s="7">
        <v>1.1011517736514138</v>
      </c>
      <c r="M41" s="7">
        <v>0.9761517736514135</v>
      </c>
      <c r="N41" s="7">
        <v>2.046070946056537</v>
      </c>
      <c r="O41" s="7">
        <v>6.161248311197879</v>
      </c>
      <c r="P41" s="7">
        <v>4.1036596286272085</v>
      </c>
      <c r="Q41" s="7">
        <v>0.05965446790457597</v>
      </c>
      <c r="R41" s="7">
        <v>0.09942411317429331</v>
      </c>
      <c r="S41" s="7">
        <v>0.07953929053943463</v>
      </c>
      <c r="T41" s="7">
        <v>1</v>
      </c>
      <c r="U41" s="7">
        <v>2.9884822634858654</v>
      </c>
      <c r="V41" s="7">
        <v>1.9942411317429332</v>
      </c>
      <c r="W41" s="7">
        <v>13.237348900774673</v>
      </c>
      <c r="X41" s="7">
        <v>29.76964526971732</v>
      </c>
      <c r="Y41" s="7">
        <v>21.503502027657316</v>
      </c>
      <c r="Z41" s="7">
        <v>5.267629772983724</v>
      </c>
      <c r="AA41" s="7">
        <v>6</v>
      </c>
      <c r="AB41" s="7">
        <v>5.633809944080545</v>
      </c>
      <c r="AC41" s="7">
        <v>4.94241131742933</v>
      </c>
      <c r="AD41" s="7">
        <v>9.976964526971733</v>
      </c>
      <c r="AE41" s="7">
        <v>7.459687922200531</v>
      </c>
      <c r="AF41" s="7">
        <v>1.1340978874933973</v>
      </c>
      <c r="AG41" s="7">
        <v>1.4002879434128537</v>
      </c>
      <c r="AH41" s="7">
        <v>1.2671978578644427</v>
      </c>
      <c r="AI41" s="7">
        <v>1.4680397150269393</v>
      </c>
      <c r="AJ41" s="7">
        <v>4.664762890061232</v>
      </c>
      <c r="AK41" s="7">
        <v>3.066396360132768</v>
      </c>
      <c r="AL41" s="7">
        <v>0.0595968792220053</v>
      </c>
      <c r="AM41" s="7">
        <v>0.09942411317429331</v>
      </c>
      <c r="AN41" s="7">
        <v>0.0795104961981493</v>
      </c>
      <c r="AO41" s="7">
        <v>0.8323702270162774</v>
      </c>
      <c r="AP41" s="7">
        <v>2.323731924630677</v>
      </c>
      <c r="AQ41" s="7">
        <v>1.5780510758234767</v>
      </c>
      <c r="AR41" s="7">
        <v>29.712056587146645</v>
      </c>
      <c r="AS41" s="7">
        <v>39.65446790457598</v>
      </c>
      <c r="AT41" s="7">
        <v>34.68326224586131</v>
      </c>
      <c r="AU41" s="7">
        <v>5.6</v>
      </c>
      <c r="AV41" s="7">
        <v>6</v>
      </c>
      <c r="AW41" s="7">
        <v>5.8</v>
      </c>
      <c r="AX41" s="7">
        <v>4.94241131742933</v>
      </c>
      <c r="AY41" s="7">
        <v>9.953929053943465</v>
      </c>
      <c r="AZ41" s="7">
        <v>7.448170185686397</v>
      </c>
      <c r="BA41" s="7">
        <v>1.6971205658714668</v>
      </c>
      <c r="BB41" s="7">
        <v>1.995968792220053</v>
      </c>
      <c r="BC41" s="7">
        <v>1.84654467904576</v>
      </c>
      <c r="BD41" s="7">
        <v>0.23134321254616977</v>
      </c>
      <c r="BE41" s="7">
        <v>1.2110825872225714</v>
      </c>
      <c r="BF41" s="7">
        <v>0.7212128998843707</v>
      </c>
      <c r="BG41" s="7">
        <v>0.05953929053943463</v>
      </c>
      <c r="BH41" s="7">
        <v>0.09942411317429331</v>
      </c>
      <c r="BI41" s="7">
        <v>0.07948170185686396</v>
      </c>
      <c r="BJ41" s="7">
        <v>0.5</v>
      </c>
      <c r="BK41" s="7">
        <v>1</v>
      </c>
      <c r="BL41" s="7">
        <v>0.75</v>
      </c>
      <c r="BM41" s="56">
        <v>16545.148547850942</v>
      </c>
      <c r="BN41" s="56">
        <v>34156.471123830685</v>
      </c>
      <c r="BO41" s="56">
        <v>25350.809840783233</v>
      </c>
      <c r="BP41" s="56">
        <v>452081.5532106098</v>
      </c>
      <c r="BQ41" s="56">
        <v>750714.7442660499</v>
      </c>
      <c r="BR41" s="56">
        <v>601398.1487333875</v>
      </c>
      <c r="BS41" s="7">
        <f t="shared" si="0"/>
        <v>7.457384374897704</v>
      </c>
      <c r="BT41" s="56">
        <v>1658011.7288379828</v>
      </c>
      <c r="BU41" s="8">
        <v>1658798.59295</v>
      </c>
      <c r="BV41" s="57">
        <f t="shared" si="32"/>
        <v>99.95256421633336</v>
      </c>
      <c r="BW41">
        <v>0</v>
      </c>
      <c r="BX41">
        <v>0</v>
      </c>
      <c r="BY41">
        <v>1638915.1866078828</v>
      </c>
      <c r="BZ41">
        <v>19096.5422301</v>
      </c>
      <c r="CA41">
        <v>0</v>
      </c>
      <c r="CB41">
        <v>0</v>
      </c>
      <c r="CC41">
        <v>0</v>
      </c>
      <c r="CD41">
        <v>0</v>
      </c>
      <c r="CE41" s="7">
        <v>0</v>
      </c>
      <c r="CF41" s="7">
        <v>0</v>
      </c>
      <c r="CG41" s="7">
        <v>98.84822634858659</v>
      </c>
      <c r="CH41" s="7">
        <v>1.1517736514134196</v>
      </c>
      <c r="CI41" s="7">
        <v>0</v>
      </c>
      <c r="CJ41" s="7">
        <v>0</v>
      </c>
      <c r="CK41" s="7">
        <v>0</v>
      </c>
      <c r="CL41" s="7">
        <v>0</v>
      </c>
      <c r="CM41" s="7">
        <v>0</v>
      </c>
      <c r="CN41" s="56">
        <f t="shared" si="2"/>
        <v>27445.06913132388</v>
      </c>
      <c r="CO41" s="56">
        <f t="shared" si="3"/>
        <v>566587.0624034764</v>
      </c>
      <c r="CP41" s="56">
        <f t="shared" si="4"/>
        <v>42051.88769403424</v>
      </c>
      <c r="CQ41" s="6">
        <f t="shared" si="5"/>
        <v>3.57512168912947</v>
      </c>
      <c r="CR41" s="6">
        <f t="shared" si="6"/>
        <v>5.965446790457598</v>
      </c>
      <c r="CS41" s="6">
        <f t="shared" si="7"/>
        <v>4.770284239793534</v>
      </c>
      <c r="CT41" s="58">
        <f t="shared" si="8"/>
        <v>150670.90517156993</v>
      </c>
      <c r="CU41" s="58">
        <f t="shared" si="9"/>
        <v>251409.41926649283</v>
      </c>
      <c r="CV41" s="58">
        <f t="shared" si="10"/>
        <v>201040.16221903134</v>
      </c>
      <c r="CW41">
        <f t="shared" si="11"/>
        <v>749912244.3644102</v>
      </c>
      <c r="CX41">
        <f t="shared" si="12"/>
        <v>1245284561.4953427</v>
      </c>
      <c r="CY41">
        <f t="shared" si="13"/>
        <v>997598402.921678</v>
      </c>
      <c r="CZ41" s="59">
        <v>127.087</v>
      </c>
      <c r="DA41" s="59">
        <v>19.0532</v>
      </c>
      <c r="DB41" s="6">
        <v>0</v>
      </c>
      <c r="DC41" s="6">
        <v>0</v>
      </c>
      <c r="DD41" s="6">
        <v>2.06</v>
      </c>
      <c r="DE41" s="6">
        <v>0.22</v>
      </c>
      <c r="DF41" s="6">
        <v>0</v>
      </c>
      <c r="DG41" s="6">
        <v>95.83</v>
      </c>
      <c r="DH41" s="6">
        <v>1.41</v>
      </c>
      <c r="DI41" s="6">
        <v>0</v>
      </c>
      <c r="DJ41" s="6">
        <v>0</v>
      </c>
      <c r="DK41" s="6">
        <v>0.49</v>
      </c>
      <c r="DL41" s="6">
        <v>0</v>
      </c>
      <c r="DM41" s="6">
        <v>0</v>
      </c>
      <c r="DN41" s="6">
        <v>0</v>
      </c>
      <c r="DO41" s="6">
        <v>0</v>
      </c>
      <c r="DP41" s="6">
        <v>4.93607</v>
      </c>
      <c r="DQ41" t="s">
        <v>422</v>
      </c>
      <c r="DR41" t="s">
        <v>423</v>
      </c>
      <c r="DS41" s="59">
        <v>1</v>
      </c>
      <c r="DT41">
        <v>1</v>
      </c>
      <c r="DU41">
        <f t="shared" si="14"/>
        <v>1</v>
      </c>
      <c r="DV41">
        <f t="shared" si="15"/>
        <v>0</v>
      </c>
      <c r="DW41">
        <f t="shared" si="16"/>
        <v>0</v>
      </c>
      <c r="DX41">
        <f t="shared" si="17"/>
        <v>1.46883128</v>
      </c>
      <c r="DY41" s="59">
        <f t="shared" si="18"/>
        <v>2436.4952605449475</v>
      </c>
      <c r="DZ41">
        <f t="shared" si="20"/>
        <v>2436.4952605449475</v>
      </c>
      <c r="EA41">
        <f t="shared" si="21"/>
        <v>27445.06913132388</v>
      </c>
      <c r="EB41">
        <f t="shared" si="22"/>
        <v>566587.0624034764</v>
      </c>
      <c r="EC41">
        <f t="shared" si="23"/>
        <v>42051.88769403424</v>
      </c>
      <c r="ED41" s="7">
        <f t="shared" si="19"/>
        <v>2.9756897678709233</v>
      </c>
      <c r="EE41">
        <f t="shared" si="24"/>
        <v>0</v>
      </c>
      <c r="EF41">
        <f t="shared" si="25"/>
        <v>0</v>
      </c>
      <c r="EG41">
        <f t="shared" si="26"/>
        <v>0</v>
      </c>
      <c r="EH41">
        <f t="shared" si="27"/>
        <v>0</v>
      </c>
      <c r="EI41">
        <f t="shared" si="28"/>
        <v>2436.4952605449475</v>
      </c>
      <c r="EJ41">
        <f t="shared" si="29"/>
        <v>27445.06913132388</v>
      </c>
      <c r="EK41">
        <f t="shared" si="30"/>
        <v>566587.0624034764</v>
      </c>
      <c r="EL41">
        <f t="shared" si="31"/>
        <v>42051.88769403424</v>
      </c>
    </row>
    <row r="42" spans="1:142" ht="12.75">
      <c r="A42" s="74" t="s">
        <v>504</v>
      </c>
      <c r="B42" t="s">
        <v>505</v>
      </c>
      <c r="C42" s="7">
        <v>19.968584570343875</v>
      </c>
      <c r="D42" s="7">
        <v>13.910506670215769</v>
      </c>
      <c r="E42" s="7">
        <v>5.23585366727117</v>
      </c>
      <c r="F42" s="7">
        <v>6.022963342343622</v>
      </c>
      <c r="G42" s="7">
        <v>5.6294085048073965</v>
      </c>
      <c r="H42" s="7">
        <v>4.520169433937558</v>
      </c>
      <c r="I42" s="7">
        <v>13.065742437725627</v>
      </c>
      <c r="J42" s="7">
        <v>8.79295593583159</v>
      </c>
      <c r="K42" s="7">
        <v>1.0046382277352681</v>
      </c>
      <c r="L42" s="7">
        <v>1.2599059326947715</v>
      </c>
      <c r="M42" s="7">
        <v>1.1322720802150201</v>
      </c>
      <c r="N42" s="7">
        <v>4.040220899100272</v>
      </c>
      <c r="O42" s="7">
        <v>14.94260659286011</v>
      </c>
      <c r="P42" s="7">
        <v>9.49141374598019</v>
      </c>
      <c r="Q42" s="7">
        <v>0.08062338225593714</v>
      </c>
      <c r="R42" s="7">
        <v>0.11301937644685404</v>
      </c>
      <c r="S42" s="7">
        <v>0.09682137935139565</v>
      </c>
      <c r="T42" s="7">
        <v>1.4148905318126415</v>
      </c>
      <c r="U42" s="7">
        <v>3.5489685872944854</v>
      </c>
      <c r="V42" s="7">
        <v>2.481929559553561</v>
      </c>
      <c r="W42" s="7">
        <v>8.576348705229918</v>
      </c>
      <c r="X42" s="7">
        <v>18.882261408315934</v>
      </c>
      <c r="Y42" s="7">
        <v>13.729306129611324</v>
      </c>
      <c r="Z42" s="7">
        <v>5.3749080140328624</v>
      </c>
      <c r="AA42" s="7">
        <v>6.063059843445159</v>
      </c>
      <c r="AB42" s="7">
        <v>5.71898240102302</v>
      </c>
      <c r="AC42" s="7">
        <v>4.16776590029201</v>
      </c>
      <c r="AD42" s="7">
        <v>12.158269673680632</v>
      </c>
      <c r="AE42" s="7">
        <v>8.16301769656688</v>
      </c>
      <c r="AF42" s="7">
        <v>1.1927414117286628</v>
      </c>
      <c r="AG42" s="7">
        <v>1.4332588910820525</v>
      </c>
      <c r="AH42" s="7">
        <v>1.3130028989259044</v>
      </c>
      <c r="AI42" s="7">
        <v>6.456114086556159</v>
      </c>
      <c r="AJ42" s="7">
        <v>28.57179071637091</v>
      </c>
      <c r="AK42" s="7">
        <v>17.513951185080114</v>
      </c>
      <c r="AL42" s="7">
        <v>0.07462219715013665</v>
      </c>
      <c r="AM42" s="7">
        <v>0.10803591207654051</v>
      </c>
      <c r="AN42" s="7">
        <v>0.09133000326897359</v>
      </c>
      <c r="AO42" s="7">
        <v>1.0690698415249733</v>
      </c>
      <c r="AP42" s="7">
        <v>2.559001375986206</v>
      </c>
      <c r="AQ42" s="7">
        <v>1.8140358706659012</v>
      </c>
      <c r="AR42" s="7">
        <v>11.08466046523766</v>
      </c>
      <c r="AS42" s="7">
        <v>18.55514945328539</v>
      </c>
      <c r="AT42" s="7">
        <v>14.819905047160695</v>
      </c>
      <c r="AU42" s="7">
        <v>5.552966056839739</v>
      </c>
      <c r="AV42" s="7">
        <v>6.110983776808213</v>
      </c>
      <c r="AW42" s="7">
        <v>5.83197491682398</v>
      </c>
      <c r="AX42" s="7">
        <v>3.7778615174506296</v>
      </c>
      <c r="AY42" s="7">
        <v>11.34444251393532</v>
      </c>
      <c r="AZ42" s="7">
        <v>7.561151903060553</v>
      </c>
      <c r="BA42" s="7">
        <v>1.4145766532174775</v>
      </c>
      <c r="BB42" s="7">
        <v>1.650185020793681</v>
      </c>
      <c r="BC42" s="7">
        <v>1.5323806254814678</v>
      </c>
      <c r="BD42" s="7">
        <v>8.576233688063787</v>
      </c>
      <c r="BE42" s="7">
        <v>41.34980420387315</v>
      </c>
      <c r="BF42" s="7">
        <v>24.963018945968447</v>
      </c>
      <c r="BG42" s="7">
        <v>0.06956654982947517</v>
      </c>
      <c r="BH42" s="7">
        <v>0.1033462509385732</v>
      </c>
      <c r="BI42" s="7">
        <v>0.08645669980730718</v>
      </c>
      <c r="BJ42" s="7">
        <v>0.7717778621699491</v>
      </c>
      <c r="BK42" s="7">
        <v>1.5431773724770825</v>
      </c>
      <c r="BL42" s="7">
        <v>1.1574777299559356</v>
      </c>
      <c r="BM42" s="56">
        <v>17231.556598524843</v>
      </c>
      <c r="BN42" s="56">
        <v>33820.9785548637</v>
      </c>
      <c r="BO42" s="56">
        <v>25526.267579717245</v>
      </c>
      <c r="BP42" s="56">
        <v>193107.36349938175</v>
      </c>
      <c r="BQ42" s="56">
        <v>378424.5249685702</v>
      </c>
      <c r="BR42" s="56">
        <v>285765.9442332444</v>
      </c>
      <c r="BS42" s="7">
        <f t="shared" si="0"/>
        <v>8.048259027017291</v>
      </c>
      <c r="BT42" s="56">
        <v>61591404.74163466</v>
      </c>
      <c r="BU42" s="8">
        <v>61593522.0511</v>
      </c>
      <c r="BV42" s="57">
        <f t="shared" si="32"/>
        <v>99.99656244781134</v>
      </c>
      <c r="BW42">
        <v>0</v>
      </c>
      <c r="BX42">
        <v>3422734.308716191</v>
      </c>
      <c r="BY42">
        <v>19947936.219282378</v>
      </c>
      <c r="BZ42">
        <v>33968725.79308368</v>
      </c>
      <c r="CA42">
        <v>594285.50119687</v>
      </c>
      <c r="CB42">
        <v>3485318.9302041912</v>
      </c>
      <c r="CC42">
        <v>0</v>
      </c>
      <c r="CD42">
        <v>1360949.30906386</v>
      </c>
      <c r="CE42" s="7">
        <v>0</v>
      </c>
      <c r="CF42" s="7">
        <v>5.557162274629021</v>
      </c>
      <c r="CG42" s="7">
        <v>32.387532486002776</v>
      </c>
      <c r="CH42" s="7">
        <v>55.15173088773773</v>
      </c>
      <c r="CI42" s="7">
        <v>0.9648838237896917</v>
      </c>
      <c r="CJ42" s="7">
        <v>5.658774864487186</v>
      </c>
      <c r="CK42" s="7">
        <v>0</v>
      </c>
      <c r="CL42" s="7">
        <v>2.2096416127750422</v>
      </c>
      <c r="CM42" s="7">
        <v>4.907430013697544</v>
      </c>
      <c r="CN42" s="56">
        <f t="shared" si="2"/>
        <v>1061352.2613260178</v>
      </c>
      <c r="CO42" s="56">
        <f t="shared" si="3"/>
        <v>20831531.884087775</v>
      </c>
      <c r="CP42" s="56">
        <f t="shared" si="4"/>
        <v>1572252.7250535933</v>
      </c>
      <c r="CQ42" s="6">
        <f t="shared" si="5"/>
        <v>4.4280105145819295</v>
      </c>
      <c r="CR42" s="6">
        <f t="shared" si="6"/>
        <v>6.429404429724977</v>
      </c>
      <c r="CS42" s="6">
        <f t="shared" si="7"/>
        <v>5.428737426047486</v>
      </c>
      <c r="CT42" s="58">
        <f t="shared" si="8"/>
        <v>6929287.684766381</v>
      </c>
      <c r="CU42" s="58">
        <f t="shared" si="9"/>
        <v>10061221.125957962</v>
      </c>
      <c r="CV42" s="58">
        <f t="shared" si="10"/>
        <v>8495301.279494097</v>
      </c>
      <c r="CW42">
        <f t="shared" si="11"/>
        <v>11894162651.928953</v>
      </c>
      <c r="CX42">
        <f t="shared" si="12"/>
        <v>23308499323.32867</v>
      </c>
      <c r="CY42">
        <f t="shared" si="13"/>
        <v>17601330987.583755</v>
      </c>
      <c r="CZ42" s="59">
        <v>143.939</v>
      </c>
      <c r="DA42" s="59">
        <v>12.9936</v>
      </c>
      <c r="DB42" s="6">
        <v>6.36</v>
      </c>
      <c r="DC42" s="6">
        <v>11.97</v>
      </c>
      <c r="DD42" s="6">
        <v>8.46</v>
      </c>
      <c r="DE42" s="6">
        <v>19.32</v>
      </c>
      <c r="DF42" s="6">
        <v>1.08</v>
      </c>
      <c r="DG42" s="6">
        <v>34.04</v>
      </c>
      <c r="DH42" s="6">
        <v>7.02</v>
      </c>
      <c r="DI42" s="6">
        <v>0</v>
      </c>
      <c r="DJ42" s="6">
        <v>0.25</v>
      </c>
      <c r="DK42" s="6">
        <v>6.95</v>
      </c>
      <c r="DL42" s="6">
        <v>0</v>
      </c>
      <c r="DM42" s="6">
        <v>2.78</v>
      </c>
      <c r="DN42" s="6">
        <v>1.76</v>
      </c>
      <c r="DO42" s="6">
        <v>0.02</v>
      </c>
      <c r="DP42" s="6">
        <v>2051.27</v>
      </c>
      <c r="DQ42" t="s">
        <v>261</v>
      </c>
      <c r="DR42" t="s">
        <v>423</v>
      </c>
      <c r="DS42" s="59">
        <v>1</v>
      </c>
      <c r="DT42">
        <v>1</v>
      </c>
      <c r="DU42">
        <f t="shared" si="14"/>
        <v>1</v>
      </c>
      <c r="DV42">
        <f t="shared" si="15"/>
        <v>0</v>
      </c>
      <c r="DW42">
        <f t="shared" si="16"/>
        <v>0</v>
      </c>
      <c r="DX42">
        <f t="shared" si="17"/>
        <v>1.45939416</v>
      </c>
      <c r="DY42" s="59">
        <f t="shared" si="18"/>
        <v>89889.22637520656</v>
      </c>
      <c r="DZ42">
        <f t="shared" si="20"/>
        <v>89889.22637520656</v>
      </c>
      <c r="EA42">
        <f t="shared" si="21"/>
        <v>1061352.2613260178</v>
      </c>
      <c r="EB42">
        <f t="shared" si="22"/>
        <v>20831531.884087775</v>
      </c>
      <c r="EC42">
        <f t="shared" si="23"/>
        <v>1572252.7250535933</v>
      </c>
      <c r="ED42" s="7">
        <f t="shared" si="19"/>
        <v>33.30333989178601</v>
      </c>
      <c r="EE42">
        <f t="shared" si="24"/>
        <v>0</v>
      </c>
      <c r="EF42">
        <f t="shared" si="25"/>
        <v>0</v>
      </c>
      <c r="EG42">
        <f t="shared" si="26"/>
        <v>0</v>
      </c>
      <c r="EH42">
        <f t="shared" si="27"/>
        <v>0</v>
      </c>
      <c r="EI42">
        <f t="shared" si="28"/>
        <v>89889.22637520656</v>
      </c>
      <c r="EJ42">
        <f t="shared" si="29"/>
        <v>1061352.2613260178</v>
      </c>
      <c r="EK42">
        <f t="shared" si="30"/>
        <v>20831531.884087775</v>
      </c>
      <c r="EL42">
        <f t="shared" si="31"/>
        <v>1572252.7250535933</v>
      </c>
    </row>
    <row r="43" spans="1:142" ht="12.75">
      <c r="A43" s="55" t="s">
        <v>506</v>
      </c>
      <c r="B43" t="s">
        <v>507</v>
      </c>
      <c r="C43" s="7">
        <v>25</v>
      </c>
      <c r="D43" s="7">
        <v>15</v>
      </c>
      <c r="E43" s="7">
        <v>5.1</v>
      </c>
      <c r="F43" s="7">
        <v>6</v>
      </c>
      <c r="G43" s="7">
        <v>5.55</v>
      </c>
      <c r="H43" s="7">
        <v>5</v>
      </c>
      <c r="I43" s="7">
        <v>10</v>
      </c>
      <c r="J43" s="7">
        <v>7.5</v>
      </c>
      <c r="K43" s="7">
        <v>0.85</v>
      </c>
      <c r="L43" s="7">
        <v>1.1</v>
      </c>
      <c r="M43" s="7">
        <v>0.975</v>
      </c>
      <c r="N43" s="7">
        <v>2</v>
      </c>
      <c r="O43" s="7">
        <v>6</v>
      </c>
      <c r="P43" s="7">
        <v>4</v>
      </c>
      <c r="Q43" s="7">
        <v>0.06</v>
      </c>
      <c r="R43" s="7">
        <v>0.1</v>
      </c>
      <c r="S43" s="7">
        <v>0.08</v>
      </c>
      <c r="T43" s="7">
        <v>1</v>
      </c>
      <c r="U43" s="7">
        <v>3</v>
      </c>
      <c r="V43" s="7">
        <v>2</v>
      </c>
      <c r="W43" s="7">
        <v>13.33333</v>
      </c>
      <c r="X43" s="7">
        <v>30</v>
      </c>
      <c r="Y43" s="7">
        <v>21.66667</v>
      </c>
      <c r="Z43" s="7">
        <v>5.26667</v>
      </c>
      <c r="AA43" s="7">
        <v>6</v>
      </c>
      <c r="AB43" s="7">
        <v>5.633330000000001</v>
      </c>
      <c r="AC43" s="7">
        <v>5</v>
      </c>
      <c r="AD43" s="7">
        <v>10</v>
      </c>
      <c r="AE43" s="7">
        <v>7.5</v>
      </c>
      <c r="AF43" s="7">
        <v>1.13333</v>
      </c>
      <c r="AG43" s="7">
        <v>1.4</v>
      </c>
      <c r="AH43" s="7">
        <v>1.26667</v>
      </c>
      <c r="AI43" s="7">
        <v>1.3336700000000001</v>
      </c>
      <c r="AJ43" s="7">
        <v>4.02</v>
      </c>
      <c r="AK43" s="7">
        <v>2.67683</v>
      </c>
      <c r="AL43" s="7">
        <v>0.06</v>
      </c>
      <c r="AM43" s="7">
        <v>0.1</v>
      </c>
      <c r="AN43" s="7">
        <v>0.08</v>
      </c>
      <c r="AO43" s="7">
        <v>0.83333</v>
      </c>
      <c r="AP43" s="7">
        <v>2.33333</v>
      </c>
      <c r="AQ43" s="7">
        <v>1.58333</v>
      </c>
      <c r="AR43" s="7">
        <v>30</v>
      </c>
      <c r="AS43" s="7">
        <v>40</v>
      </c>
      <c r="AT43" s="7">
        <v>35</v>
      </c>
      <c r="AU43" s="7">
        <v>5.6</v>
      </c>
      <c r="AV43" s="7">
        <v>6</v>
      </c>
      <c r="AW43" s="7">
        <v>5.8</v>
      </c>
      <c r="AX43" s="7">
        <v>5</v>
      </c>
      <c r="AY43" s="7">
        <v>10</v>
      </c>
      <c r="AZ43" s="7">
        <v>7.5</v>
      </c>
      <c r="BA43" s="7">
        <v>1.7</v>
      </c>
      <c r="BB43" s="7">
        <v>2</v>
      </c>
      <c r="BC43" s="7">
        <v>1.85</v>
      </c>
      <c r="BD43" s="7">
        <v>0.0010000000000000002</v>
      </c>
      <c r="BE43" s="7">
        <v>0.06</v>
      </c>
      <c r="BF43" s="7">
        <v>0.0305</v>
      </c>
      <c r="BG43" s="7">
        <v>0.06</v>
      </c>
      <c r="BH43" s="7">
        <v>0.1</v>
      </c>
      <c r="BI43" s="7">
        <v>0.08</v>
      </c>
      <c r="BJ43" s="7">
        <v>0.5</v>
      </c>
      <c r="BK43" s="7">
        <v>1</v>
      </c>
      <c r="BL43" s="7">
        <v>0.75</v>
      </c>
      <c r="BM43" s="56">
        <v>16560.8</v>
      </c>
      <c r="BN43" s="56">
        <v>34256.133330000004</v>
      </c>
      <c r="BO43" s="56">
        <v>25408.466670000005</v>
      </c>
      <c r="BP43" s="56">
        <v>456141.66667000006</v>
      </c>
      <c r="BQ43" s="56">
        <v>757047</v>
      </c>
      <c r="BR43" s="56">
        <v>606594.33333</v>
      </c>
      <c r="BS43" s="7">
        <f t="shared" si="0"/>
        <v>7.5</v>
      </c>
      <c r="BT43" s="56">
        <v>283512.99616263</v>
      </c>
      <c r="BU43" s="8">
        <v>285006.697775</v>
      </c>
      <c r="BV43" s="57">
        <f t="shared" si="32"/>
        <v>99.47590648780148</v>
      </c>
      <c r="BW43">
        <v>0</v>
      </c>
      <c r="BX43">
        <v>0</v>
      </c>
      <c r="BY43">
        <v>283512.99616263</v>
      </c>
      <c r="BZ43">
        <v>0</v>
      </c>
      <c r="CA43">
        <v>0</v>
      </c>
      <c r="CB43">
        <v>0</v>
      </c>
      <c r="CC43">
        <v>0</v>
      </c>
      <c r="CD43">
        <v>0</v>
      </c>
      <c r="CE43" s="7">
        <v>0</v>
      </c>
      <c r="CF43" s="7">
        <v>0</v>
      </c>
      <c r="CG43" s="7">
        <v>100</v>
      </c>
      <c r="CH43" s="7">
        <v>0</v>
      </c>
      <c r="CI43" s="7">
        <v>0</v>
      </c>
      <c r="CJ43" s="7">
        <v>0</v>
      </c>
      <c r="CK43" s="7">
        <v>0</v>
      </c>
      <c r="CL43" s="7">
        <v>0</v>
      </c>
      <c r="CM43" s="7">
        <v>0</v>
      </c>
      <c r="CN43" s="56">
        <f t="shared" si="2"/>
        <v>4719.938920512221</v>
      </c>
      <c r="CO43" s="56">
        <f t="shared" si="3"/>
        <v>97632.27438923417</v>
      </c>
      <c r="CP43" s="56">
        <f t="shared" si="4"/>
        <v>7241.5831811428525</v>
      </c>
      <c r="CQ43" s="6">
        <f t="shared" si="5"/>
        <v>3.6</v>
      </c>
      <c r="CR43" s="6">
        <f t="shared" si="6"/>
        <v>6.000000000000001</v>
      </c>
      <c r="CS43" s="6">
        <f t="shared" si="7"/>
        <v>4.8</v>
      </c>
      <c r="CT43" s="58">
        <f t="shared" si="8"/>
        <v>26067.685772103658</v>
      </c>
      <c r="CU43" s="58">
        <f t="shared" si="9"/>
        <v>43446.1429535061</v>
      </c>
      <c r="CV43" s="58">
        <f t="shared" si="10"/>
        <v>34756.91436280488</v>
      </c>
      <c r="CW43">
        <f t="shared" si="11"/>
        <v>130003430.13520151</v>
      </c>
      <c r="CX43">
        <f t="shared" si="12"/>
        <v>215763465.53047043</v>
      </c>
      <c r="CY43">
        <f t="shared" si="13"/>
        <v>172883447.83141094</v>
      </c>
      <c r="CZ43" s="59">
        <v>143.83</v>
      </c>
      <c r="DA43" s="59">
        <v>23.0105</v>
      </c>
      <c r="DB43" s="6">
        <v>0</v>
      </c>
      <c r="DC43" s="6">
        <v>5.99</v>
      </c>
      <c r="DD43" s="6">
        <v>2.52</v>
      </c>
      <c r="DE43" s="6">
        <v>11.36</v>
      </c>
      <c r="DF43" s="6">
        <v>0</v>
      </c>
      <c r="DG43" s="6">
        <v>2.52</v>
      </c>
      <c r="DH43" s="6">
        <v>7.26</v>
      </c>
      <c r="DI43" s="6">
        <v>0</v>
      </c>
      <c r="DJ43" s="6">
        <v>0</v>
      </c>
      <c r="DK43" s="6">
        <v>67.82</v>
      </c>
      <c r="DL43" s="6">
        <v>0</v>
      </c>
      <c r="DM43" s="6">
        <v>1.58</v>
      </c>
      <c r="DN43" s="6">
        <v>0.95</v>
      </c>
      <c r="DO43" s="6">
        <v>0</v>
      </c>
      <c r="DP43" s="6">
        <v>1.17786</v>
      </c>
      <c r="DQ43" t="s">
        <v>422</v>
      </c>
      <c r="DR43" t="s">
        <v>423</v>
      </c>
      <c r="DS43" s="59">
        <v>1</v>
      </c>
      <c r="DT43">
        <v>1</v>
      </c>
      <c r="DU43">
        <f t="shared" si="14"/>
        <v>1</v>
      </c>
      <c r="DV43">
        <f t="shared" si="15"/>
        <v>0</v>
      </c>
      <c r="DW43">
        <f t="shared" si="16"/>
        <v>0</v>
      </c>
      <c r="DX43">
        <f t="shared" si="17"/>
        <v>1.4594552</v>
      </c>
      <c r="DY43" s="59">
        <f t="shared" si="18"/>
        <v>415.9545071025522</v>
      </c>
      <c r="DZ43">
        <f t="shared" si="20"/>
        <v>415.9545071025522</v>
      </c>
      <c r="EA43">
        <f t="shared" si="21"/>
        <v>4719.938920512221</v>
      </c>
      <c r="EB43">
        <f t="shared" si="22"/>
        <v>97632.27438923417</v>
      </c>
      <c r="EC43">
        <f t="shared" si="23"/>
        <v>7241.5831811428525</v>
      </c>
      <c r="ED43" s="7">
        <f t="shared" si="19"/>
        <v>4.13274498176835</v>
      </c>
      <c r="EE43">
        <f t="shared" si="24"/>
        <v>0</v>
      </c>
      <c r="EF43">
        <f t="shared" si="25"/>
        <v>0</v>
      </c>
      <c r="EG43">
        <f t="shared" si="26"/>
        <v>0</v>
      </c>
      <c r="EH43">
        <f t="shared" si="27"/>
        <v>0</v>
      </c>
      <c r="EI43">
        <f t="shared" si="28"/>
        <v>415.9545071025522</v>
      </c>
      <c r="EJ43">
        <f t="shared" si="29"/>
        <v>4719.938920512221</v>
      </c>
      <c r="EK43">
        <f t="shared" si="30"/>
        <v>97632.27438923417</v>
      </c>
      <c r="EL43">
        <f t="shared" si="31"/>
        <v>7241.5831811428525</v>
      </c>
    </row>
    <row r="44" spans="1:142" ht="12.75">
      <c r="A44" s="55" t="s">
        <v>508</v>
      </c>
      <c r="B44" t="s">
        <v>509</v>
      </c>
      <c r="C44" s="7">
        <v>30.540773802745605</v>
      </c>
      <c r="D44" s="7">
        <v>23.070118814521635</v>
      </c>
      <c r="E44" s="7">
        <v>4.775992749120684</v>
      </c>
      <c r="F44" s="7">
        <v>5.655407005731723</v>
      </c>
      <c r="G44" s="7">
        <v>5.2156998774262044</v>
      </c>
      <c r="H44" s="7">
        <v>5.326770450120643</v>
      </c>
      <c r="I44" s="7">
        <v>11.500785993525668</v>
      </c>
      <c r="J44" s="7">
        <v>8.413777603260101</v>
      </c>
      <c r="K44" s="7">
        <v>0.8036303130942779</v>
      </c>
      <c r="L44" s="7">
        <v>1.0708649080419854</v>
      </c>
      <c r="M44" s="7">
        <v>0.937247610568132</v>
      </c>
      <c r="N44" s="7">
        <v>1.9851323558445086</v>
      </c>
      <c r="O44" s="7">
        <v>5.957587719141827</v>
      </c>
      <c r="P44" s="7">
        <v>3.9713600374931666</v>
      </c>
      <c r="Q44" s="7">
        <v>0.0946611261065579</v>
      </c>
      <c r="R44" s="7">
        <v>0.1272131338184843</v>
      </c>
      <c r="S44" s="7">
        <v>0.11093712996252106</v>
      </c>
      <c r="T44" s="7">
        <v>3.054905368891394</v>
      </c>
      <c r="U44" s="7">
        <v>6.197415252792615</v>
      </c>
      <c r="V44" s="7">
        <v>4.6261609294050565</v>
      </c>
      <c r="W44" s="7">
        <v>16.25833693918431</v>
      </c>
      <c r="X44" s="7">
        <v>27.66384932790143</v>
      </c>
      <c r="Y44" s="7">
        <v>21.96109313455163</v>
      </c>
      <c r="Z44" s="7">
        <v>4.885542796532128</v>
      </c>
      <c r="AA44" s="7">
        <v>5.795993079026318</v>
      </c>
      <c r="AB44" s="7">
        <v>5.340767889233727</v>
      </c>
      <c r="AC44" s="7">
        <v>14.252353169039125</v>
      </c>
      <c r="AD44" s="7">
        <v>21.573841905375964</v>
      </c>
      <c r="AE44" s="7">
        <v>17.91309753720755</v>
      </c>
      <c r="AF44" s="7">
        <v>1.1472266065937524</v>
      </c>
      <c r="AG44" s="7">
        <v>1.3867961827437132</v>
      </c>
      <c r="AH44" s="7">
        <v>1.2670135162444547</v>
      </c>
      <c r="AI44" s="7">
        <v>1.0116506733516304</v>
      </c>
      <c r="AJ44" s="7">
        <v>3.137033091671206</v>
      </c>
      <c r="AK44" s="7">
        <v>2.0743418825114186</v>
      </c>
      <c r="AL44" s="7">
        <v>0.07830378248046851</v>
      </c>
      <c r="AM44" s="7">
        <v>0.10598417604499927</v>
      </c>
      <c r="AN44" s="7">
        <v>0.09214601458694721</v>
      </c>
      <c r="AO44" s="7">
        <v>1.5817542293768545</v>
      </c>
      <c r="AP44" s="7">
        <v>3.7405285813615894</v>
      </c>
      <c r="AQ44" s="7">
        <v>2.6611434395069757</v>
      </c>
      <c r="AR44" s="7">
        <v>17.158555883578465</v>
      </c>
      <c r="AS44" s="7">
        <v>24.731669022623855</v>
      </c>
      <c r="AT44" s="7">
        <v>20.945112453101157</v>
      </c>
      <c r="AU44" s="7">
        <v>4.996710962404017</v>
      </c>
      <c r="AV44" s="7">
        <v>5.9329354471216025</v>
      </c>
      <c r="AW44" s="7">
        <v>5.464823204762808</v>
      </c>
      <c r="AX44" s="7">
        <v>14.698920028622268</v>
      </c>
      <c r="AY44" s="7">
        <v>22.204328276831447</v>
      </c>
      <c r="AZ44" s="7">
        <v>18.451624152726865</v>
      </c>
      <c r="BA44" s="7">
        <v>1.3732566863567222</v>
      </c>
      <c r="BB44" s="7">
        <v>1.623107878128752</v>
      </c>
      <c r="BC44" s="7">
        <v>1.4981822822427375</v>
      </c>
      <c r="BD44" s="7">
        <v>0.5851748478826735</v>
      </c>
      <c r="BE44" s="7">
        <v>1.8829949156050658</v>
      </c>
      <c r="BF44" s="7">
        <v>1.2340848817438694</v>
      </c>
      <c r="BG44" s="7">
        <v>0.07608106017955221</v>
      </c>
      <c r="BH44" s="7">
        <v>0.10461261733780897</v>
      </c>
      <c r="BI44" s="7">
        <v>0.09034683875868062</v>
      </c>
      <c r="BJ44" s="7">
        <v>1.2253768559824731</v>
      </c>
      <c r="BK44" s="7">
        <v>3.2501309386207864</v>
      </c>
      <c r="BL44" s="7">
        <v>2.237753897301629</v>
      </c>
      <c r="BM44" s="56">
        <v>33323.68593641306</v>
      </c>
      <c r="BN44" s="56">
        <v>62962.56999320634</v>
      </c>
      <c r="BO44" s="56">
        <v>48143.12796750622</v>
      </c>
      <c r="BP44" s="56">
        <v>354331.59136729065</v>
      </c>
      <c r="BQ44" s="56">
        <v>558889.7373342107</v>
      </c>
      <c r="BR44" s="56">
        <v>456610.6643501311</v>
      </c>
      <c r="BS44" s="7">
        <f t="shared" si="0"/>
        <v>16.228644196625783</v>
      </c>
      <c r="BT44" s="56">
        <v>19878681.96602138</v>
      </c>
      <c r="BU44" s="8">
        <v>19877196.5234</v>
      </c>
      <c r="BV44" s="57">
        <f t="shared" si="32"/>
        <v>100.00747309923526</v>
      </c>
      <c r="BW44">
        <v>7097140.309929619</v>
      </c>
      <c r="BX44">
        <v>0</v>
      </c>
      <c r="BY44">
        <v>0</v>
      </c>
      <c r="BZ44">
        <v>12735767.81535042</v>
      </c>
      <c r="CA44">
        <v>28978.7703922</v>
      </c>
      <c r="CB44">
        <v>13411.47935361</v>
      </c>
      <c r="CC44">
        <v>2998.11384227</v>
      </c>
      <c r="CD44">
        <v>0</v>
      </c>
      <c r="CE44" s="7">
        <v>35.70226799775134</v>
      </c>
      <c r="CF44" s="7">
        <v>0</v>
      </c>
      <c r="CG44" s="7">
        <v>0</v>
      </c>
      <c r="CH44" s="7">
        <v>64.06746602777619</v>
      </c>
      <c r="CI44" s="7">
        <v>0.1457781277538088</v>
      </c>
      <c r="CJ44" s="7">
        <v>0.06746664279117817</v>
      </c>
      <c r="CK44" s="7">
        <v>0.015082055477293082</v>
      </c>
      <c r="CL44" s="7">
        <v>0</v>
      </c>
      <c r="CM44" s="7">
        <v>0.1976002593818413</v>
      </c>
      <c r="CN44" s="56">
        <f t="shared" si="2"/>
        <v>662381.4542421432</v>
      </c>
      <c r="CO44" s="56">
        <f t="shared" si="3"/>
        <v>12515193.773732902</v>
      </c>
      <c r="CP44" s="56">
        <f t="shared" si="4"/>
        <v>956950.4158613159</v>
      </c>
      <c r="CQ44" s="6">
        <f t="shared" si="5"/>
        <v>4.841169737119192</v>
      </c>
      <c r="CR44" s="6">
        <f t="shared" si="6"/>
        <v>6.580880647009209</v>
      </c>
      <c r="CS44" s="6">
        <f t="shared" si="7"/>
        <v>5.711074039845321</v>
      </c>
      <c r="CT44" s="58">
        <f t="shared" si="8"/>
        <v>2444839.4885125738</v>
      </c>
      <c r="CU44" s="58">
        <f t="shared" si="9"/>
        <v>3323411.0243303305</v>
      </c>
      <c r="CV44" s="58">
        <f t="shared" si="10"/>
        <v>2884149.9250430237</v>
      </c>
      <c r="CW44">
        <f t="shared" si="11"/>
        <v>7043118676.056699</v>
      </c>
      <c r="CX44">
        <f t="shared" si="12"/>
        <v>11109161143.903511</v>
      </c>
      <c r="CY44">
        <f t="shared" si="13"/>
        <v>9076139909.96779</v>
      </c>
      <c r="CZ44" s="59">
        <v>499.268</v>
      </c>
      <c r="DA44" s="59">
        <v>33.7332</v>
      </c>
      <c r="DB44" s="6">
        <v>1.81</v>
      </c>
      <c r="DC44" s="6">
        <v>7.08</v>
      </c>
      <c r="DD44" s="6">
        <v>5.61</v>
      </c>
      <c r="DE44" s="6">
        <v>9.99</v>
      </c>
      <c r="DF44" s="6">
        <v>0</v>
      </c>
      <c r="DG44" s="6">
        <v>62.56</v>
      </c>
      <c r="DH44" s="6">
        <v>8.61</v>
      </c>
      <c r="DI44" s="6">
        <v>0</v>
      </c>
      <c r="DJ44" s="6">
        <v>1.26</v>
      </c>
      <c r="DK44" s="6">
        <v>2.81</v>
      </c>
      <c r="DL44" s="6">
        <v>0</v>
      </c>
      <c r="DM44" s="6">
        <v>0.27</v>
      </c>
      <c r="DN44" s="6">
        <v>0.01</v>
      </c>
      <c r="DO44" s="6">
        <v>0</v>
      </c>
      <c r="DP44" s="6">
        <v>11.0778</v>
      </c>
      <c r="DQ44" t="s">
        <v>441</v>
      </c>
      <c r="DR44" t="s">
        <v>441</v>
      </c>
      <c r="DS44" s="59">
        <v>1</v>
      </c>
      <c r="DT44">
        <v>1</v>
      </c>
      <c r="DU44">
        <f t="shared" si="14"/>
        <v>1</v>
      </c>
      <c r="DV44">
        <f t="shared" si="15"/>
        <v>0</v>
      </c>
      <c r="DW44">
        <f t="shared" si="16"/>
        <v>0</v>
      </c>
      <c r="DX44">
        <f t="shared" si="17"/>
        <v>1.26040992</v>
      </c>
      <c r="DY44" s="59">
        <f t="shared" si="18"/>
        <v>25053.415679882877</v>
      </c>
      <c r="DZ44">
        <f t="shared" si="20"/>
        <v>25053.415679882877</v>
      </c>
      <c r="EA44">
        <f t="shared" si="21"/>
        <v>662381.4542421432</v>
      </c>
      <c r="EB44">
        <f t="shared" si="22"/>
        <v>12515193.773732902</v>
      </c>
      <c r="EC44">
        <f t="shared" si="23"/>
        <v>956950.4158613159</v>
      </c>
      <c r="ED44" s="7">
        <f t="shared" si="19"/>
        <v>0.5573119925115646</v>
      </c>
      <c r="EE44">
        <f t="shared" si="24"/>
        <v>0</v>
      </c>
      <c r="EF44">
        <f t="shared" si="25"/>
        <v>0</v>
      </c>
      <c r="EG44">
        <f t="shared" si="26"/>
        <v>0</v>
      </c>
      <c r="EH44">
        <f t="shared" si="27"/>
        <v>0</v>
      </c>
      <c r="EI44">
        <f t="shared" si="28"/>
        <v>25053.415679882877</v>
      </c>
      <c r="EJ44">
        <f t="shared" si="29"/>
        <v>662381.4542421432</v>
      </c>
      <c r="EK44">
        <f t="shared" si="30"/>
        <v>12515193.773732902</v>
      </c>
      <c r="EL44">
        <f t="shared" si="31"/>
        <v>956950.4158613159</v>
      </c>
    </row>
    <row r="45" spans="73:131" ht="12.75">
      <c r="BU45" s="60"/>
      <c r="BV45" s="75"/>
      <c r="DP45" s="59"/>
      <c r="DQ45" s="76"/>
      <c r="DS45" s="59"/>
      <c r="DZ45" s="11" t="s">
        <v>273</v>
      </c>
      <c r="EA45" s="77" t="s">
        <v>274</v>
      </c>
    </row>
    <row r="46" spans="1:142" ht="12.75">
      <c r="A46" s="78" t="s">
        <v>510</v>
      </c>
      <c r="B46" s="78"/>
      <c r="C46" s="78"/>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79" t="s">
        <v>511</v>
      </c>
      <c r="BV46" s="75"/>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P46" s="80" t="s">
        <v>512</v>
      </c>
      <c r="DQ46" s="76"/>
      <c r="DS46" s="81" t="s">
        <v>513</v>
      </c>
      <c r="DZ46" s="82">
        <f>SUM(DZ2:DZ44)+($ED$66/$ED$64)*EI46</f>
        <v>3753277.5308217956</v>
      </c>
      <c r="EA46" s="83">
        <f>SUM(EA2:EA44)+($ED$66/$ED$64)*EJ46</f>
        <v>70771813.71897492</v>
      </c>
      <c r="EB46" s="83">
        <f>SUM(EB2:EB44)+($ED$66/$ED$64)*EK46</f>
        <v>1379329205.3002706</v>
      </c>
      <c r="EC46" s="83">
        <f>SUM(EC2:EC44)+($ED$66/$ED$64)*EL46</f>
        <v>104352367.12911855</v>
      </c>
      <c r="ED46" s="83"/>
      <c r="EE46" s="82">
        <f>SUM(EE2:EE44)</f>
        <v>996815.2521386304</v>
      </c>
      <c r="EF46" s="83">
        <f>SUM(EF2:EF44)</f>
        <v>21761767.92843752</v>
      </c>
      <c r="EG46" s="83">
        <f>SUM(EG2:EG44)</f>
        <v>482889223.77208996</v>
      </c>
      <c r="EH46" s="83">
        <f>SUM(EH2:EH44)</f>
        <v>35025345.154196426</v>
      </c>
      <c r="EI46" s="82">
        <f>SUM(EI2:EI44)</f>
        <v>829460.717102191</v>
      </c>
      <c r="EJ46" s="83">
        <f>SUM(EJ2:EJ44)</f>
        <v>13035703.93336663</v>
      </c>
      <c r="EK46" s="83">
        <f>SUM(EK2:EK44)</f>
        <v>232936941.091237</v>
      </c>
      <c r="EL46" s="83">
        <f>SUM(EL2:EL44)</f>
        <v>18164699.022616245</v>
      </c>
    </row>
    <row r="47" spans="1:142" ht="12.75">
      <c r="A47" s="78" t="s">
        <v>514</v>
      </c>
      <c r="B47" s="84"/>
      <c r="C47" s="60" t="s">
        <v>515</v>
      </c>
      <c r="D47" s="60" t="s">
        <v>515</v>
      </c>
      <c r="E47" s="60" t="s">
        <v>516</v>
      </c>
      <c r="F47" s="60" t="s">
        <v>516</v>
      </c>
      <c r="G47" s="60" t="s">
        <v>516</v>
      </c>
      <c r="H47" s="60" t="s">
        <v>517</v>
      </c>
      <c r="I47" s="60" t="s">
        <v>517</v>
      </c>
      <c r="J47" s="60" t="s">
        <v>517</v>
      </c>
      <c r="K47" s="60" t="s">
        <v>518</v>
      </c>
      <c r="L47" s="60" t="s">
        <v>518</v>
      </c>
      <c r="M47" s="60" t="s">
        <v>518</v>
      </c>
      <c r="N47" s="60" t="s">
        <v>519</v>
      </c>
      <c r="O47" s="60" t="s">
        <v>519</v>
      </c>
      <c r="P47" s="60" t="s">
        <v>519</v>
      </c>
      <c r="Q47" s="60" t="s">
        <v>520</v>
      </c>
      <c r="R47" s="60" t="s">
        <v>520</v>
      </c>
      <c r="S47" s="60" t="s">
        <v>520</v>
      </c>
      <c r="T47" s="60" t="s">
        <v>521</v>
      </c>
      <c r="U47" s="60" t="s">
        <v>521</v>
      </c>
      <c r="V47" s="60" t="s">
        <v>521</v>
      </c>
      <c r="W47" s="60" t="s">
        <v>515</v>
      </c>
      <c r="X47" s="60" t="s">
        <v>515</v>
      </c>
      <c r="Y47" s="60" t="s">
        <v>515</v>
      </c>
      <c r="Z47" s="60" t="s">
        <v>516</v>
      </c>
      <c r="AA47" s="60" t="s">
        <v>516</v>
      </c>
      <c r="AB47" s="60" t="s">
        <v>516</v>
      </c>
      <c r="AC47" s="60" t="s">
        <v>517</v>
      </c>
      <c r="AD47" s="60" t="s">
        <v>517</v>
      </c>
      <c r="AE47" s="60" t="s">
        <v>517</v>
      </c>
      <c r="AF47" s="60" t="s">
        <v>518</v>
      </c>
      <c r="AG47" s="60" t="s">
        <v>518</v>
      </c>
      <c r="AH47" s="60" t="s">
        <v>518</v>
      </c>
      <c r="AI47" s="60" t="s">
        <v>519</v>
      </c>
      <c r="AJ47" s="60" t="s">
        <v>519</v>
      </c>
      <c r="AK47" s="60" t="s">
        <v>519</v>
      </c>
      <c r="AL47" s="60" t="s">
        <v>520</v>
      </c>
      <c r="AM47" s="60" t="s">
        <v>520</v>
      </c>
      <c r="AN47" s="60" t="s">
        <v>520</v>
      </c>
      <c r="AO47" s="60" t="s">
        <v>521</v>
      </c>
      <c r="AP47" s="60" t="s">
        <v>521</v>
      </c>
      <c r="AQ47" s="60" t="s">
        <v>521</v>
      </c>
      <c r="AR47" s="60" t="s">
        <v>515</v>
      </c>
      <c r="AS47" s="60" t="s">
        <v>515</v>
      </c>
      <c r="AT47" s="60" t="s">
        <v>515</v>
      </c>
      <c r="AU47" s="60" t="s">
        <v>516</v>
      </c>
      <c r="AV47" s="60" t="s">
        <v>516</v>
      </c>
      <c r="AW47" s="60" t="s">
        <v>516</v>
      </c>
      <c r="AX47" s="60" t="s">
        <v>517</v>
      </c>
      <c r="AY47" s="60" t="s">
        <v>517</v>
      </c>
      <c r="AZ47" s="60" t="s">
        <v>517</v>
      </c>
      <c r="BA47" s="60" t="s">
        <v>518</v>
      </c>
      <c r="BB47" s="60" t="s">
        <v>518</v>
      </c>
      <c r="BC47" s="60" t="s">
        <v>518</v>
      </c>
      <c r="BD47" s="60" t="s">
        <v>519</v>
      </c>
      <c r="BE47" s="60" t="s">
        <v>519</v>
      </c>
      <c r="BF47" s="60" t="s">
        <v>519</v>
      </c>
      <c r="BG47" s="60" t="s">
        <v>520</v>
      </c>
      <c r="BH47" s="60" t="s">
        <v>520</v>
      </c>
      <c r="BI47" s="60" t="s">
        <v>520</v>
      </c>
      <c r="BJ47" s="60" t="s">
        <v>521</v>
      </c>
      <c r="BK47" s="60" t="s">
        <v>521</v>
      </c>
      <c r="BL47" s="60" t="s">
        <v>521</v>
      </c>
      <c r="BM47" s="60" t="s">
        <v>522</v>
      </c>
      <c r="BN47" s="60" t="s">
        <v>522</v>
      </c>
      <c r="BO47" s="60" t="s">
        <v>522</v>
      </c>
      <c r="BP47" s="60" t="s">
        <v>523</v>
      </c>
      <c r="BQ47" s="60" t="s">
        <v>523</v>
      </c>
      <c r="BR47" s="60" t="s">
        <v>523</v>
      </c>
      <c r="BS47" s="60"/>
      <c r="BT47" s="60" t="s">
        <v>524</v>
      </c>
      <c r="BU47" s="60" t="s">
        <v>524</v>
      </c>
      <c r="BV47" s="85" t="s">
        <v>525</v>
      </c>
      <c r="BW47" s="60"/>
      <c r="BX47" s="60"/>
      <c r="BY47" s="60"/>
      <c r="BZ47" s="60"/>
      <c r="CA47" s="60"/>
      <c r="CB47" s="60"/>
      <c r="CC47" s="60"/>
      <c r="CD47" s="60"/>
      <c r="CE47" s="85" t="s">
        <v>525</v>
      </c>
      <c r="CF47" s="85" t="s">
        <v>525</v>
      </c>
      <c r="CG47" s="85" t="s">
        <v>525</v>
      </c>
      <c r="CH47" s="85" t="s">
        <v>525</v>
      </c>
      <c r="CI47" s="85" t="s">
        <v>525</v>
      </c>
      <c r="CJ47" s="85" t="s">
        <v>525</v>
      </c>
      <c r="CK47" s="85" t="s">
        <v>525</v>
      </c>
      <c r="CL47" s="85" t="s">
        <v>525</v>
      </c>
      <c r="CM47" s="85" t="s">
        <v>525</v>
      </c>
      <c r="CN47" s="85" t="s">
        <v>526</v>
      </c>
      <c r="CO47" s="85" t="s">
        <v>526</v>
      </c>
      <c r="CP47" s="85" t="s">
        <v>526</v>
      </c>
      <c r="CQ47" s="60" t="s">
        <v>527</v>
      </c>
      <c r="CR47" s="60" t="s">
        <v>527</v>
      </c>
      <c r="CS47" s="60" t="s">
        <v>527</v>
      </c>
      <c r="CT47" s="60" t="s">
        <v>528</v>
      </c>
      <c r="CU47" s="60" t="s">
        <v>528</v>
      </c>
      <c r="CV47" s="60" t="s">
        <v>528</v>
      </c>
      <c r="CW47" s="60" t="s">
        <v>529</v>
      </c>
      <c r="CX47" s="60" t="s">
        <v>529</v>
      </c>
      <c r="CY47" s="60" t="s">
        <v>529</v>
      </c>
      <c r="CZ47" s="85" t="s">
        <v>530</v>
      </c>
      <c r="DA47" s="85" t="s">
        <v>531</v>
      </c>
      <c r="DB47" s="85" t="s">
        <v>525</v>
      </c>
      <c r="DC47" s="85" t="s">
        <v>525</v>
      </c>
      <c r="DD47" s="85" t="s">
        <v>525</v>
      </c>
      <c r="DE47" s="85" t="s">
        <v>525</v>
      </c>
      <c r="DF47" s="85" t="s">
        <v>525</v>
      </c>
      <c r="DG47" s="85" t="s">
        <v>525</v>
      </c>
      <c r="DH47" s="85" t="s">
        <v>525</v>
      </c>
      <c r="DI47" s="85" t="s">
        <v>525</v>
      </c>
      <c r="DJ47" s="85" t="s">
        <v>525</v>
      </c>
      <c r="DK47" s="85" t="s">
        <v>525</v>
      </c>
      <c r="DL47" s="85" t="s">
        <v>525</v>
      </c>
      <c r="DM47" s="85" t="s">
        <v>525</v>
      </c>
      <c r="DN47" s="85" t="s">
        <v>525</v>
      </c>
      <c r="DO47" s="85" t="s">
        <v>525</v>
      </c>
      <c r="DP47" s="59" t="s">
        <v>532</v>
      </c>
      <c r="DQ47" s="76"/>
      <c r="DZ47" s="86" t="s">
        <v>551</v>
      </c>
      <c r="EA47" s="26"/>
      <c r="EB47" s="26"/>
      <c r="EC47" s="26"/>
      <c r="ED47" s="26"/>
      <c r="EE47" s="26"/>
      <c r="EF47" s="26"/>
      <c r="EG47" s="26"/>
      <c r="EH47" s="26"/>
      <c r="EI47" s="26"/>
      <c r="EJ47" s="26"/>
      <c r="EK47" s="26"/>
      <c r="EL47" s="26"/>
    </row>
    <row r="48" spans="2:142" ht="12.75">
      <c r="B48" s="84"/>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75"/>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P48" s="59"/>
      <c r="DQ48" s="76"/>
      <c r="EA48" s="83" t="s">
        <v>275</v>
      </c>
      <c r="EB48" s="26"/>
      <c r="EC48" s="26"/>
      <c r="ED48" s="26"/>
      <c r="EE48" s="26"/>
      <c r="EF48" s="26"/>
      <c r="EG48" s="26"/>
      <c r="EH48" s="26"/>
      <c r="EI48" s="26"/>
      <c r="EJ48" s="26"/>
      <c r="EK48" s="26"/>
      <c r="EL48" s="26"/>
    </row>
    <row r="49" spans="1:142" ht="12.75">
      <c r="A49" s="78" t="s">
        <v>533</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75"/>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EA49" s="83">
        <f>EA46*0.58</f>
        <v>41047651.95700545</v>
      </c>
      <c r="EB49" s="83">
        <f>EB46*0.58</f>
        <v>800010939.0741569</v>
      </c>
      <c r="EC49" s="83">
        <f>EC46*0.58</f>
        <v>60524372.93488875</v>
      </c>
      <c r="ED49" s="83"/>
      <c r="EE49" s="83">
        <f aca="true" t="shared" si="33" ref="EE49:EL49">EE46*0.58</f>
        <v>578152.8462404056</v>
      </c>
      <c r="EF49" s="83">
        <f t="shared" si="33"/>
        <v>12621825.398493761</v>
      </c>
      <c r="EG49" s="83">
        <f t="shared" si="33"/>
        <v>280075749.7878122</v>
      </c>
      <c r="EH49" s="83">
        <f t="shared" si="33"/>
        <v>20314700.189433925</v>
      </c>
      <c r="EI49" s="83">
        <f t="shared" si="33"/>
        <v>481087.2159192707</v>
      </c>
      <c r="EJ49" s="83">
        <f t="shared" si="33"/>
        <v>7560708.281352645</v>
      </c>
      <c r="EK49" s="83">
        <f t="shared" si="33"/>
        <v>135103425.83291745</v>
      </c>
      <c r="EL49" s="83">
        <f t="shared" si="33"/>
        <v>10535525.433117421</v>
      </c>
    </row>
    <row r="50" spans="1:142" ht="12.75">
      <c r="A50" s="88" t="s">
        <v>534</v>
      </c>
      <c r="B50" s="68"/>
      <c r="C50" s="68">
        <f aca="true" t="shared" si="34" ref="C50:AH50">AVERAGE(C2:C44)</f>
        <v>26.803400783376937</v>
      </c>
      <c r="D50" s="68">
        <f t="shared" si="34"/>
        <v>18.96287114333226</v>
      </c>
      <c r="E50" s="68">
        <f t="shared" si="34"/>
        <v>5.120494505144694</v>
      </c>
      <c r="F50" s="68">
        <f t="shared" si="34"/>
        <v>5.95650736973434</v>
      </c>
      <c r="G50" s="68">
        <f t="shared" si="34"/>
        <v>5.538500958663353</v>
      </c>
      <c r="H50" s="68">
        <f t="shared" si="34"/>
        <v>5.129495471023356</v>
      </c>
      <c r="I50" s="68">
        <f t="shared" si="34"/>
        <v>12.43670458324648</v>
      </c>
      <c r="J50" s="68">
        <f t="shared" si="34"/>
        <v>8.783099845284678</v>
      </c>
      <c r="K50" s="68">
        <f t="shared" si="34"/>
        <v>0.8966535867689757</v>
      </c>
      <c r="L50" s="68">
        <f t="shared" si="34"/>
        <v>1.1462796391022199</v>
      </c>
      <c r="M50" s="68">
        <f t="shared" si="34"/>
        <v>1.0214666642578127</v>
      </c>
      <c r="N50" s="68">
        <f t="shared" si="34"/>
        <v>2.523123602039124</v>
      </c>
      <c r="O50" s="68">
        <f t="shared" si="34"/>
        <v>8.143926856589944</v>
      </c>
      <c r="P50" s="68">
        <f t="shared" si="34"/>
        <v>5.333525229314533</v>
      </c>
      <c r="Q50" s="68">
        <f t="shared" si="34"/>
        <v>0.06292355034751972</v>
      </c>
      <c r="R50" s="68">
        <f t="shared" si="34"/>
        <v>0.10172831265814798</v>
      </c>
      <c r="S50" s="68">
        <f t="shared" si="34"/>
        <v>0.08232588570701277</v>
      </c>
      <c r="T50" s="68">
        <f t="shared" si="34"/>
        <v>2.1099192864466136</v>
      </c>
      <c r="U50" s="68">
        <f t="shared" si="34"/>
        <v>4.706616693617186</v>
      </c>
      <c r="V50" s="68">
        <f t="shared" si="34"/>
        <v>3.4082680480138743</v>
      </c>
      <c r="W50" s="68">
        <f t="shared" si="34"/>
        <v>12.910103237863312</v>
      </c>
      <c r="X50" s="68">
        <f t="shared" si="34"/>
        <v>25.545988285117</v>
      </c>
      <c r="Y50" s="68">
        <f t="shared" si="34"/>
        <v>19.228047387772847</v>
      </c>
      <c r="Z50" s="68">
        <f t="shared" si="34"/>
        <v>5.2563810068234</v>
      </c>
      <c r="AA50" s="68">
        <f t="shared" si="34"/>
        <v>6.056708489663731</v>
      </c>
      <c r="AB50" s="68">
        <f t="shared" si="34"/>
        <v>5.656543476466232</v>
      </c>
      <c r="AC50" s="68">
        <f t="shared" si="34"/>
        <v>5.889050892024202</v>
      </c>
      <c r="AD50" s="68">
        <f t="shared" si="34"/>
        <v>13.130950835809326</v>
      </c>
      <c r="AE50" s="68">
        <f t="shared" si="34"/>
        <v>9.510000886969983</v>
      </c>
      <c r="AF50" s="68">
        <f t="shared" si="34"/>
        <v>1.1164449686603106</v>
      </c>
      <c r="AG50" s="68">
        <f t="shared" si="34"/>
        <v>1.3797282970829683</v>
      </c>
      <c r="AH50" s="68">
        <f t="shared" si="34"/>
        <v>1.2480885968376583</v>
      </c>
      <c r="AI50" s="68">
        <f aca="true" t="shared" si="35" ref="AI50:BR50">AVERAGE(AI2:AI44)</f>
        <v>2.862623100381338</v>
      </c>
      <c r="AJ50" s="68">
        <f t="shared" si="35"/>
        <v>11.101041763603638</v>
      </c>
      <c r="AK50" s="68">
        <f t="shared" si="35"/>
        <v>6.981831094028085</v>
      </c>
      <c r="AL50" s="68">
        <f t="shared" si="35"/>
        <v>0.05795056689645882</v>
      </c>
      <c r="AM50" s="68">
        <f t="shared" si="35"/>
        <v>0.0953487684351256</v>
      </c>
      <c r="AN50" s="68">
        <f t="shared" si="35"/>
        <v>0.07665037119564512</v>
      </c>
      <c r="AO50" s="68">
        <f t="shared" si="35"/>
        <v>1.4339372571234053</v>
      </c>
      <c r="AP50" s="68">
        <f t="shared" si="35"/>
        <v>3.4320062687304023</v>
      </c>
      <c r="AQ50" s="68">
        <f t="shared" si="35"/>
        <v>2.4329715798700904</v>
      </c>
      <c r="AR50" s="68">
        <f t="shared" si="35"/>
        <v>16.966682340484336</v>
      </c>
      <c r="AS50" s="68">
        <f t="shared" si="35"/>
        <v>25.03751965676705</v>
      </c>
      <c r="AT50" s="68">
        <f t="shared" si="35"/>
        <v>21.002101014371135</v>
      </c>
      <c r="AU50" s="68">
        <f t="shared" si="35"/>
        <v>5.452360069208784</v>
      </c>
      <c r="AV50" s="68">
        <f t="shared" si="35"/>
        <v>6.156014940370575</v>
      </c>
      <c r="AW50" s="68">
        <f t="shared" si="35"/>
        <v>5.80418752862451</v>
      </c>
      <c r="AX50" s="68">
        <f t="shared" si="35"/>
        <v>5.333206260100384</v>
      </c>
      <c r="AY50" s="68">
        <f t="shared" si="35"/>
        <v>11.958147580889756</v>
      </c>
      <c r="AZ50" s="68">
        <f t="shared" si="35"/>
        <v>8.645677023123243</v>
      </c>
      <c r="BA50" s="68">
        <f t="shared" si="35"/>
        <v>1.433687730426778</v>
      </c>
      <c r="BB50" s="68">
        <f t="shared" si="35"/>
        <v>1.7213579374000048</v>
      </c>
      <c r="BC50" s="68">
        <f t="shared" si="35"/>
        <v>1.5775228608065979</v>
      </c>
      <c r="BD50" s="68">
        <f t="shared" si="35"/>
        <v>2.9523980535304686</v>
      </c>
      <c r="BE50" s="68">
        <f t="shared" si="35"/>
        <v>13.225950342129078</v>
      </c>
      <c r="BF50" s="68">
        <f t="shared" si="35"/>
        <v>8.08917420439534</v>
      </c>
      <c r="BG50" s="68">
        <f t="shared" si="35"/>
        <v>0.0524505554450435</v>
      </c>
      <c r="BH50" s="68">
        <f t="shared" si="35"/>
        <v>0.08668842778965251</v>
      </c>
      <c r="BI50" s="68">
        <f t="shared" si="35"/>
        <v>0.06956966170499926</v>
      </c>
      <c r="BJ50" s="68">
        <f t="shared" si="35"/>
        <v>0.9100632201533441</v>
      </c>
      <c r="BK50" s="68">
        <f t="shared" si="35"/>
        <v>2.0463243614953774</v>
      </c>
      <c r="BL50" s="68">
        <f t="shared" si="35"/>
        <v>1.478193708194061</v>
      </c>
      <c r="BM50" s="89">
        <f t="shared" si="35"/>
        <v>21955.547104565147</v>
      </c>
      <c r="BN50" s="89">
        <f t="shared" si="35"/>
        <v>39805.89733236259</v>
      </c>
      <c r="BO50" s="89">
        <f t="shared" si="35"/>
        <v>30880.72222048276</v>
      </c>
      <c r="BP50" s="89">
        <f t="shared" si="35"/>
        <v>307375.4442744141</v>
      </c>
      <c r="BQ50" s="89">
        <f t="shared" si="35"/>
        <v>525207.4227007782</v>
      </c>
      <c r="BR50" s="89">
        <f t="shared" si="35"/>
        <v>416291.433486069</v>
      </c>
      <c r="BS50" s="89"/>
      <c r="BT50" s="89">
        <f aca="true" t="shared" si="36" ref="BT50:CY50">AVERAGE(BT2:BT44)</f>
        <v>55631601.68995079</v>
      </c>
      <c r="BU50" s="89">
        <f t="shared" si="36"/>
        <v>74114452.11407568</v>
      </c>
      <c r="BV50" s="68">
        <f t="shared" si="36"/>
        <v>92.97340394039522</v>
      </c>
      <c r="BW50" s="68">
        <f t="shared" si="36"/>
        <v>24722282.157118186</v>
      </c>
      <c r="BX50" s="68">
        <f t="shared" si="36"/>
        <v>1525894.1317045912</v>
      </c>
      <c r="BY50" s="68">
        <f t="shared" si="36"/>
        <v>13436978.975579761</v>
      </c>
      <c r="BZ50" s="68">
        <f t="shared" si="36"/>
        <v>15516711.607178405</v>
      </c>
      <c r="CA50" s="68">
        <f t="shared" si="36"/>
        <v>390941.6801261061</v>
      </c>
      <c r="CB50" s="68">
        <f t="shared" si="36"/>
        <v>2721430.6851826576</v>
      </c>
      <c r="CC50" s="68">
        <f t="shared" si="36"/>
        <v>5084175.944352997</v>
      </c>
      <c r="CD50" s="68">
        <f t="shared" si="36"/>
        <v>808716.848878671</v>
      </c>
      <c r="CE50" s="68">
        <f t="shared" si="36"/>
        <v>15.415905868323788</v>
      </c>
      <c r="CF50" s="68">
        <f t="shared" si="36"/>
        <v>2.2688194758112563</v>
      </c>
      <c r="CG50" s="68">
        <f t="shared" si="36"/>
        <v>42.468684823821135</v>
      </c>
      <c r="CH50" s="68">
        <f t="shared" si="36"/>
        <v>38.401936457411686</v>
      </c>
      <c r="CI50" s="68">
        <f t="shared" si="36"/>
        <v>1.0792700480431234</v>
      </c>
      <c r="CJ50" s="68">
        <f t="shared" si="36"/>
        <v>2.138298050436317</v>
      </c>
      <c r="CK50" s="68">
        <f t="shared" si="36"/>
        <v>3.5391443893858185</v>
      </c>
      <c r="CL50" s="68">
        <f t="shared" si="36"/>
        <v>0.8492111502317148</v>
      </c>
      <c r="CM50" s="68">
        <f t="shared" si="36"/>
        <v>3.7979502972123544</v>
      </c>
      <c r="CN50" s="68">
        <f t="shared" si="36"/>
        <v>1806478.9149245468</v>
      </c>
      <c r="CO50" s="68">
        <f t="shared" si="36"/>
        <v>35275178.87551527</v>
      </c>
      <c r="CP50" s="68">
        <f t="shared" si="36"/>
        <v>2666998.4013185236</v>
      </c>
      <c r="CQ50" s="68">
        <f t="shared" si="36"/>
        <v>3.404709540366292</v>
      </c>
      <c r="CR50" s="68">
        <f t="shared" si="36"/>
        <v>5.589632461292451</v>
      </c>
      <c r="CS50" s="68">
        <f t="shared" si="36"/>
        <v>4.497191418099619</v>
      </c>
      <c r="CT50" s="89">
        <f t="shared" si="36"/>
        <v>5726414.2226705635</v>
      </c>
      <c r="CU50" s="89">
        <f t="shared" si="36"/>
        <v>9824613.629410341</v>
      </c>
      <c r="CV50" s="89">
        <f t="shared" si="36"/>
        <v>7775568.2670055805</v>
      </c>
      <c r="CW50" s="89">
        <f t="shared" si="36"/>
        <v>12889580343.763927</v>
      </c>
      <c r="CX50" s="89">
        <f t="shared" si="36"/>
        <v>24371118330.26206</v>
      </c>
      <c r="CY50" s="89">
        <f t="shared" si="36"/>
        <v>18630349336.993507</v>
      </c>
      <c r="CZ50" s="68">
        <f aca="true" t="shared" si="37" ref="CZ50:DP50">AVERAGE(CZ2:CZ44)</f>
        <v>307.2385191456137</v>
      </c>
      <c r="DA50" s="68">
        <f t="shared" si="37"/>
        <v>22.66065847917536</v>
      </c>
      <c r="DB50" s="68">
        <f t="shared" si="37"/>
        <v>1.9568548805140389</v>
      </c>
      <c r="DC50" s="68">
        <f t="shared" si="37"/>
        <v>8.33867598068506</v>
      </c>
      <c r="DD50" s="68">
        <f t="shared" si="37"/>
        <v>6.290312010174278</v>
      </c>
      <c r="DE50" s="68">
        <f t="shared" si="37"/>
        <v>16.455478755640648</v>
      </c>
      <c r="DF50" s="68">
        <f t="shared" si="37"/>
        <v>0.6169730851480195</v>
      </c>
      <c r="DG50" s="68">
        <f t="shared" si="37"/>
        <v>41.352153995910996</v>
      </c>
      <c r="DH50" s="68">
        <f t="shared" si="37"/>
        <v>10.986510229363647</v>
      </c>
      <c r="DI50" s="68">
        <f t="shared" si="37"/>
        <v>0.7881200424314954</v>
      </c>
      <c r="DJ50" s="68">
        <f t="shared" si="37"/>
        <v>0.39997054929982007</v>
      </c>
      <c r="DK50" s="68">
        <f t="shared" si="37"/>
        <v>9.402860649328654</v>
      </c>
      <c r="DL50" s="68">
        <f t="shared" si="37"/>
        <v>1.5896245274244207</v>
      </c>
      <c r="DM50" s="68">
        <f t="shared" si="37"/>
        <v>1.4794384973647459</v>
      </c>
      <c r="DN50" s="68">
        <f t="shared" si="37"/>
        <v>0.2941415527938915</v>
      </c>
      <c r="DO50" s="68">
        <f t="shared" si="37"/>
        <v>0.054901511071459165</v>
      </c>
      <c r="DP50" s="68">
        <f t="shared" si="37"/>
        <v>418.979680210741</v>
      </c>
      <c r="DQ50" s="68"/>
      <c r="DR50" s="68"/>
      <c r="DS50" s="6"/>
      <c r="EA50" s="83" t="s">
        <v>276</v>
      </c>
      <c r="EB50" s="26"/>
      <c r="EC50" s="26"/>
      <c r="ED50" s="26"/>
      <c r="EE50" s="26"/>
      <c r="EF50" s="26"/>
      <c r="EG50" s="26"/>
      <c r="EH50" s="26"/>
      <c r="EI50" s="26"/>
      <c r="EJ50" s="26"/>
      <c r="EK50" s="26"/>
      <c r="EL50" s="26"/>
    </row>
    <row r="51" spans="1:142" ht="12.75">
      <c r="A51" s="88" t="s">
        <v>535</v>
      </c>
      <c r="B51" s="6"/>
      <c r="C51" s="68">
        <f aca="true" t="shared" si="38" ref="C51:AH51">STDEV(C2:C44)</f>
        <v>12.162868687131418</v>
      </c>
      <c r="D51" s="68">
        <f t="shared" si="38"/>
        <v>9.891683613883925</v>
      </c>
      <c r="E51" s="68">
        <f t="shared" si="38"/>
        <v>0.21549244873189824</v>
      </c>
      <c r="F51" s="68">
        <f t="shared" si="38"/>
        <v>0.3548844217177207</v>
      </c>
      <c r="G51" s="68">
        <f t="shared" si="38"/>
        <v>0.2614210907575322</v>
      </c>
      <c r="H51" s="68">
        <f t="shared" si="38"/>
        <v>1.5286492577547404</v>
      </c>
      <c r="I51" s="68">
        <f t="shared" si="38"/>
        <v>3.545929763059215</v>
      </c>
      <c r="J51" s="68">
        <f t="shared" si="38"/>
        <v>2.4692378700434174</v>
      </c>
      <c r="K51" s="68">
        <f t="shared" si="38"/>
        <v>0.14108819492554753</v>
      </c>
      <c r="L51" s="68">
        <f t="shared" si="38"/>
        <v>0.13981209270311215</v>
      </c>
      <c r="M51" s="68">
        <f t="shared" si="38"/>
        <v>0.1401229730443911</v>
      </c>
      <c r="N51" s="68">
        <f t="shared" si="38"/>
        <v>0.9585801721825621</v>
      </c>
      <c r="O51" s="68">
        <f t="shared" si="38"/>
        <v>3.679053079484638</v>
      </c>
      <c r="P51" s="68">
        <f t="shared" si="38"/>
        <v>2.3138980051650555</v>
      </c>
      <c r="Q51" s="68">
        <f t="shared" si="38"/>
        <v>0.019910792879960913</v>
      </c>
      <c r="R51" s="68">
        <f t="shared" si="38"/>
        <v>0.0255046397195295</v>
      </c>
      <c r="S51" s="68">
        <f t="shared" si="38"/>
        <v>0.022453728533976564</v>
      </c>
      <c r="T51" s="68">
        <f t="shared" si="38"/>
        <v>1.7928260816834485</v>
      </c>
      <c r="U51" s="68">
        <f t="shared" si="38"/>
        <v>2.70001477562416</v>
      </c>
      <c r="V51" s="68">
        <f t="shared" si="38"/>
        <v>2.2277621048695497</v>
      </c>
      <c r="W51" s="68">
        <f t="shared" si="38"/>
        <v>6.952908587064092</v>
      </c>
      <c r="X51" s="68">
        <f t="shared" si="38"/>
        <v>10.005869443369804</v>
      </c>
      <c r="Y51" s="68">
        <f t="shared" si="38"/>
        <v>8.432345188997765</v>
      </c>
      <c r="Z51" s="68">
        <f t="shared" si="38"/>
        <v>0.22724340610455349</v>
      </c>
      <c r="AA51" s="68">
        <f t="shared" si="38"/>
        <v>0.3172793105067488</v>
      </c>
      <c r="AB51" s="68">
        <f t="shared" si="38"/>
        <v>0.2411507122985279</v>
      </c>
      <c r="AC51" s="68">
        <f t="shared" si="38"/>
        <v>2.6539217829230783</v>
      </c>
      <c r="AD51" s="68">
        <f t="shared" si="38"/>
        <v>4.180699593304765</v>
      </c>
      <c r="AE51" s="68">
        <f t="shared" si="38"/>
        <v>3.3122957864535296</v>
      </c>
      <c r="AF51" s="68">
        <f t="shared" si="38"/>
        <v>0.15849467117975424</v>
      </c>
      <c r="AG51" s="68">
        <f t="shared" si="38"/>
        <v>0.1475800010453072</v>
      </c>
      <c r="AH51" s="68">
        <f t="shared" si="38"/>
        <v>0.15259381787975274</v>
      </c>
      <c r="AI51" s="68">
        <f aca="true" t="shared" si="39" ref="AI51:BR51">STDEV(AI2:AI44)</f>
        <v>2.10403713512174</v>
      </c>
      <c r="AJ51" s="68">
        <f t="shared" si="39"/>
        <v>9.872197172136383</v>
      </c>
      <c r="AK51" s="68">
        <f t="shared" si="39"/>
        <v>5.980074003704667</v>
      </c>
      <c r="AL51" s="68">
        <f t="shared" si="39"/>
        <v>0.01750933245159432</v>
      </c>
      <c r="AM51" s="68">
        <f t="shared" si="39"/>
        <v>0.02288627302665413</v>
      </c>
      <c r="AN51" s="68">
        <f t="shared" si="39"/>
        <v>0.019949107886958015</v>
      </c>
      <c r="AO51" s="68">
        <f t="shared" si="39"/>
        <v>1.035734012319498</v>
      </c>
      <c r="AP51" s="68">
        <f t="shared" si="39"/>
        <v>1.9234935144637488</v>
      </c>
      <c r="AQ51" s="68">
        <f t="shared" si="39"/>
        <v>1.4547046846299652</v>
      </c>
      <c r="AR51" s="68">
        <f t="shared" si="39"/>
        <v>10.194166736081764</v>
      </c>
      <c r="AS51" s="68">
        <f t="shared" si="39"/>
        <v>11.881927383292476</v>
      </c>
      <c r="AT51" s="68">
        <f t="shared" si="39"/>
        <v>11.02428168021817</v>
      </c>
      <c r="AU51" s="68">
        <f t="shared" si="39"/>
        <v>0.27093424922670706</v>
      </c>
      <c r="AV51" s="68">
        <f t="shared" si="39"/>
        <v>0.30994721034435285</v>
      </c>
      <c r="AW51" s="68">
        <f t="shared" si="39"/>
        <v>0.23819287870626196</v>
      </c>
      <c r="AX51" s="68">
        <f t="shared" si="39"/>
        <v>2.5660866388956483</v>
      </c>
      <c r="AY51" s="68">
        <f t="shared" si="39"/>
        <v>3.5398014935372015</v>
      </c>
      <c r="AZ51" s="68">
        <f t="shared" si="39"/>
        <v>2.9456911076102337</v>
      </c>
      <c r="BA51" s="68">
        <f t="shared" si="39"/>
        <v>0.22845098533741737</v>
      </c>
      <c r="BB51" s="68">
        <f t="shared" si="39"/>
        <v>0.21991363310262244</v>
      </c>
      <c r="BC51" s="68">
        <f t="shared" si="39"/>
        <v>0.22342336816132533</v>
      </c>
      <c r="BD51" s="68">
        <f t="shared" si="39"/>
        <v>3.1096005321214615</v>
      </c>
      <c r="BE51" s="68">
        <f t="shared" si="39"/>
        <v>14.92431706490951</v>
      </c>
      <c r="BF51" s="68">
        <f t="shared" si="39"/>
        <v>9.007877121244842</v>
      </c>
      <c r="BG51" s="68">
        <f t="shared" si="39"/>
        <v>0.017853874027767707</v>
      </c>
      <c r="BH51" s="68">
        <f t="shared" si="39"/>
        <v>0.022373436004035643</v>
      </c>
      <c r="BI51" s="68">
        <f t="shared" si="39"/>
        <v>0.019946373791565403</v>
      </c>
      <c r="BJ51" s="68">
        <f t="shared" si="39"/>
        <v>0.9055377651087289</v>
      </c>
      <c r="BK51" s="68">
        <f t="shared" si="39"/>
        <v>1.556010460240145</v>
      </c>
      <c r="BL51" s="68">
        <f t="shared" si="39"/>
        <v>1.2117912535298385</v>
      </c>
      <c r="BM51" s="89">
        <f t="shared" si="39"/>
        <v>9882.75984300745</v>
      </c>
      <c r="BN51" s="89">
        <f t="shared" si="39"/>
        <v>9975.619637965383</v>
      </c>
      <c r="BO51" s="89">
        <f t="shared" si="39"/>
        <v>9257.337367328992</v>
      </c>
      <c r="BP51" s="89">
        <f t="shared" si="39"/>
        <v>182097.77309385606</v>
      </c>
      <c r="BQ51" s="89">
        <f t="shared" si="39"/>
        <v>255924.57812492165</v>
      </c>
      <c r="BR51" s="89">
        <f t="shared" si="39"/>
        <v>218836.484040043</v>
      </c>
      <c r="BS51" s="89"/>
      <c r="BT51" s="89">
        <f aca="true" t="shared" si="40" ref="BT51:CY51">STDEV(BT2:BT44)</f>
        <v>109952440.60772765</v>
      </c>
      <c r="BU51" s="89">
        <f t="shared" si="40"/>
        <v>141137810.9001316</v>
      </c>
      <c r="BV51" s="68">
        <f t="shared" si="40"/>
        <v>19.02550679490071</v>
      </c>
      <c r="BW51" s="68">
        <f t="shared" si="40"/>
        <v>63915700.07952871</v>
      </c>
      <c r="BX51" s="68">
        <f t="shared" si="40"/>
        <v>4049826.298602567</v>
      </c>
      <c r="BY51" s="68">
        <f t="shared" si="40"/>
        <v>19583066.26871117</v>
      </c>
      <c r="BZ51" s="68">
        <f t="shared" si="40"/>
        <v>27675104.582696646</v>
      </c>
      <c r="CA51" s="68">
        <f t="shared" si="40"/>
        <v>746208.7115946282</v>
      </c>
      <c r="CB51" s="68">
        <f t="shared" si="40"/>
        <v>7936382.870238551</v>
      </c>
      <c r="CC51" s="68">
        <f t="shared" si="40"/>
        <v>11678197.388855629</v>
      </c>
      <c r="CD51" s="68">
        <f t="shared" si="40"/>
        <v>2072971.0508085112</v>
      </c>
      <c r="CE51" s="68">
        <f t="shared" si="40"/>
        <v>26.247131098439667</v>
      </c>
      <c r="CF51" s="68">
        <f t="shared" si="40"/>
        <v>4.18267201162612</v>
      </c>
      <c r="CG51" s="68">
        <f t="shared" si="40"/>
        <v>36.25002882632503</v>
      </c>
      <c r="CH51" s="68">
        <f t="shared" si="40"/>
        <v>33.61621796060178</v>
      </c>
      <c r="CI51" s="68">
        <f t="shared" si="40"/>
        <v>3.5700475443857274</v>
      </c>
      <c r="CJ51" s="68">
        <f t="shared" si="40"/>
        <v>3.5257395452769966</v>
      </c>
      <c r="CK51" s="68">
        <f t="shared" si="40"/>
        <v>7.752333795258538</v>
      </c>
      <c r="CL51" s="68">
        <f t="shared" si="40"/>
        <v>2.3875329105913665</v>
      </c>
      <c r="CM51" s="68">
        <f t="shared" si="40"/>
        <v>7.197167284515981</v>
      </c>
      <c r="CN51" s="68">
        <f t="shared" si="40"/>
        <v>3651413.59216521</v>
      </c>
      <c r="CO51" s="68">
        <f t="shared" si="40"/>
        <v>70910305.65419948</v>
      </c>
      <c r="CP51" s="68">
        <f t="shared" si="40"/>
        <v>5367143.995561992</v>
      </c>
      <c r="CQ51" s="68">
        <f t="shared" si="40"/>
        <v>1.0521907190755773</v>
      </c>
      <c r="CR51" s="68">
        <f t="shared" si="40"/>
        <v>1.326226977647206</v>
      </c>
      <c r="CS51" s="68">
        <f t="shared" si="40"/>
        <v>1.1765902309897427</v>
      </c>
      <c r="CT51" s="89">
        <f t="shared" si="40"/>
        <v>10740415.459508693</v>
      </c>
      <c r="CU51" s="89">
        <f t="shared" si="40"/>
        <v>18235930.50764606</v>
      </c>
      <c r="CV51" s="89">
        <f t="shared" si="40"/>
        <v>14478136.605544074</v>
      </c>
      <c r="CW51" s="89">
        <f t="shared" si="40"/>
        <v>26294284980.952198</v>
      </c>
      <c r="CX51" s="89">
        <f t="shared" si="40"/>
        <v>48222120579.00162</v>
      </c>
      <c r="CY51" s="89">
        <f t="shared" si="40"/>
        <v>37233380494.48102</v>
      </c>
      <c r="CZ51" s="68">
        <f aca="true" t="shared" si="41" ref="CZ51:DP51">STDEV(CZ2:CZ44)</f>
        <v>337.84784823968243</v>
      </c>
      <c r="DA51" s="68">
        <f t="shared" si="41"/>
        <v>18.670494037459857</v>
      </c>
      <c r="DB51" s="68">
        <f t="shared" si="41"/>
        <v>1.8394663907823687</v>
      </c>
      <c r="DC51" s="68">
        <f t="shared" si="41"/>
        <v>4.556385756787481</v>
      </c>
      <c r="DD51" s="68">
        <f t="shared" si="41"/>
        <v>3.3104284241658677</v>
      </c>
      <c r="DE51" s="68">
        <f t="shared" si="41"/>
        <v>13.780827156195802</v>
      </c>
      <c r="DF51" s="68">
        <f t="shared" si="41"/>
        <v>1.4033661632547154</v>
      </c>
      <c r="DG51" s="68">
        <f t="shared" si="41"/>
        <v>21.09269625618152</v>
      </c>
      <c r="DH51" s="68">
        <f t="shared" si="41"/>
        <v>6.085330137065182</v>
      </c>
      <c r="DI51" s="68">
        <f t="shared" si="41"/>
        <v>1.9316529543118521</v>
      </c>
      <c r="DJ51" s="68">
        <f t="shared" si="41"/>
        <v>0.5298873868015405</v>
      </c>
      <c r="DK51" s="68">
        <f t="shared" si="41"/>
        <v>11.085437038813742</v>
      </c>
      <c r="DL51" s="68">
        <f t="shared" si="41"/>
        <v>3.717069583736446</v>
      </c>
      <c r="DM51" s="68">
        <f t="shared" si="41"/>
        <v>1.8517271650014495</v>
      </c>
      <c r="DN51" s="68">
        <f t="shared" si="41"/>
        <v>0.5407420648489208</v>
      </c>
      <c r="DO51" s="68">
        <f t="shared" si="41"/>
        <v>0.08124788555618669</v>
      </c>
      <c r="DP51" s="68">
        <f t="shared" si="41"/>
        <v>773.8441873396504</v>
      </c>
      <c r="DQ51" s="68"/>
      <c r="DR51" s="68"/>
      <c r="DS51" s="6"/>
      <c r="EA51" s="83">
        <f>EA49/15</f>
        <v>2736510.1304670298</v>
      </c>
      <c r="EB51" s="83">
        <f>EB49/15</f>
        <v>53334062.60494379</v>
      </c>
      <c r="EC51" s="83">
        <f>EC49/20</f>
        <v>3026218.6467444375</v>
      </c>
      <c r="ED51" s="83"/>
      <c r="EE51" s="83">
        <f aca="true" t="shared" si="42" ref="EE51:EL51">EE49/20</f>
        <v>28907.642312020278</v>
      </c>
      <c r="EF51" s="83">
        <f t="shared" si="42"/>
        <v>631091.269924688</v>
      </c>
      <c r="EG51" s="83">
        <f t="shared" si="42"/>
        <v>14003787.489390608</v>
      </c>
      <c r="EH51" s="83">
        <f t="shared" si="42"/>
        <v>1015735.0094716962</v>
      </c>
      <c r="EI51" s="83">
        <f t="shared" si="42"/>
        <v>24054.360795963534</v>
      </c>
      <c r="EJ51" s="83">
        <f t="shared" si="42"/>
        <v>378035.4140676322</v>
      </c>
      <c r="EK51" s="83">
        <f t="shared" si="42"/>
        <v>6755171.291645872</v>
      </c>
      <c r="EL51" s="83">
        <f t="shared" si="42"/>
        <v>526776.2716558711</v>
      </c>
    </row>
    <row r="52" spans="1:130" ht="12.75">
      <c r="A52" s="88" t="s">
        <v>536</v>
      </c>
      <c r="B52" s="6"/>
      <c r="C52" s="90">
        <f aca="true" t="shared" si="43" ref="C52:AH52">(C51/C50)</f>
        <v>0.4537808013778104</v>
      </c>
      <c r="D52" s="90">
        <f t="shared" si="43"/>
        <v>0.5216342788556071</v>
      </c>
      <c r="E52" s="90">
        <f t="shared" si="43"/>
        <v>0.04208430426307212</v>
      </c>
      <c r="F52" s="90">
        <f t="shared" si="43"/>
        <v>0.05957928022064187</v>
      </c>
      <c r="G52" s="90">
        <f t="shared" si="43"/>
        <v>0.047200694323003764</v>
      </c>
      <c r="H52" s="90">
        <f t="shared" si="43"/>
        <v>0.2980116205170893</v>
      </c>
      <c r="I52" s="90">
        <f t="shared" si="43"/>
        <v>0.2851181146359259</v>
      </c>
      <c r="J52" s="90">
        <f t="shared" si="43"/>
        <v>0.28113512467572144</v>
      </c>
      <c r="K52" s="90">
        <f t="shared" si="43"/>
        <v>0.15734972458421576</v>
      </c>
      <c r="L52" s="90">
        <f t="shared" si="43"/>
        <v>0.12197031852769773</v>
      </c>
      <c r="M52" s="90">
        <f t="shared" si="43"/>
        <v>0.13717821437296052</v>
      </c>
      <c r="N52" s="90">
        <f t="shared" si="43"/>
        <v>0.37991803945231306</v>
      </c>
      <c r="O52" s="90">
        <f t="shared" si="43"/>
        <v>0.4517541898731081</v>
      </c>
      <c r="P52" s="90">
        <f t="shared" si="43"/>
        <v>0.4338402661802799</v>
      </c>
      <c r="Q52" s="90">
        <f t="shared" si="43"/>
        <v>0.31642831292887696</v>
      </c>
      <c r="R52" s="90">
        <f t="shared" si="43"/>
        <v>0.25071328770817564</v>
      </c>
      <c r="S52" s="90">
        <f t="shared" si="43"/>
        <v>0.27274202204014536</v>
      </c>
      <c r="T52" s="90">
        <f t="shared" si="43"/>
        <v>0.8497131113971699</v>
      </c>
      <c r="U52" s="90">
        <f t="shared" si="43"/>
        <v>0.5736636211072272</v>
      </c>
      <c r="V52" s="90">
        <f t="shared" si="43"/>
        <v>0.6536346535794773</v>
      </c>
      <c r="W52" s="90">
        <f t="shared" si="43"/>
        <v>0.5385633607229646</v>
      </c>
      <c r="X52" s="90">
        <f t="shared" si="43"/>
        <v>0.39168065575287164</v>
      </c>
      <c r="Y52" s="90">
        <f t="shared" si="43"/>
        <v>0.43854401952222716</v>
      </c>
      <c r="Z52" s="90">
        <f t="shared" si="43"/>
        <v>0.043231912947247327</v>
      </c>
      <c r="AA52" s="90">
        <f t="shared" si="43"/>
        <v>0.05238477484069307</v>
      </c>
      <c r="AB52" s="90">
        <f t="shared" si="43"/>
        <v>0.04263216809025219</v>
      </c>
      <c r="AC52" s="90">
        <f t="shared" si="43"/>
        <v>0.4506535656734432</v>
      </c>
      <c r="AD52" s="90">
        <f t="shared" si="43"/>
        <v>0.3183851379523566</v>
      </c>
      <c r="AE52" s="90">
        <f t="shared" si="43"/>
        <v>0.34829605441907296</v>
      </c>
      <c r="AF52" s="90">
        <f t="shared" si="43"/>
        <v>0.14196371127001586</v>
      </c>
      <c r="AG52" s="90">
        <f t="shared" si="43"/>
        <v>0.10696308929614759</v>
      </c>
      <c r="AH52" s="90">
        <f t="shared" si="43"/>
        <v>0.12226200789462141</v>
      </c>
      <c r="AI52" s="90">
        <f aca="true" t="shared" si="44" ref="AI52:BN52">(AI51/AI50)</f>
        <v>0.7350031985843527</v>
      </c>
      <c r="AJ52" s="90">
        <f t="shared" si="44"/>
        <v>0.889303669183896</v>
      </c>
      <c r="AK52" s="90">
        <f t="shared" si="44"/>
        <v>0.856519432104241</v>
      </c>
      <c r="AL52" s="90">
        <f t="shared" si="44"/>
        <v>0.3021425568256911</v>
      </c>
      <c r="AM52" s="90">
        <f t="shared" si="44"/>
        <v>0.24002693901836533</v>
      </c>
      <c r="AN52" s="90">
        <f t="shared" si="44"/>
        <v>0.2602610734400647</v>
      </c>
      <c r="AO52" s="90">
        <f t="shared" si="44"/>
        <v>0.722300789085615</v>
      </c>
      <c r="AP52" s="90">
        <f t="shared" si="44"/>
        <v>0.5604574595300214</v>
      </c>
      <c r="AQ52" s="90">
        <f t="shared" si="44"/>
        <v>0.5979127321773482</v>
      </c>
      <c r="AR52" s="90">
        <f t="shared" si="44"/>
        <v>0.6008344195704886</v>
      </c>
      <c r="AS52" s="90">
        <f t="shared" si="44"/>
        <v>0.47456487488292687</v>
      </c>
      <c r="AT52" s="90">
        <f t="shared" si="44"/>
        <v>0.5249132776132526</v>
      </c>
      <c r="AU52" s="90">
        <f t="shared" si="44"/>
        <v>0.04969118799705822</v>
      </c>
      <c r="AV52" s="90">
        <f t="shared" si="44"/>
        <v>0.05034867740683145</v>
      </c>
      <c r="AW52" s="90">
        <f t="shared" si="44"/>
        <v>0.04103810869851572</v>
      </c>
      <c r="AX52" s="90">
        <f t="shared" si="44"/>
        <v>0.48115270884860706</v>
      </c>
      <c r="AY52" s="90">
        <f t="shared" si="44"/>
        <v>0.29601587282583275</v>
      </c>
      <c r="AZ52" s="90">
        <f t="shared" si="44"/>
        <v>0.34071260119153807</v>
      </c>
      <c r="BA52" s="90">
        <f t="shared" si="44"/>
        <v>0.15934500971798957</v>
      </c>
      <c r="BB52" s="90">
        <f t="shared" si="44"/>
        <v>0.1277559003415566</v>
      </c>
      <c r="BC52" s="90">
        <f t="shared" si="44"/>
        <v>0.1416292427274794</v>
      </c>
      <c r="BD52" s="90">
        <f t="shared" si="44"/>
        <v>1.0532456923967317</v>
      </c>
      <c r="BE52" s="90">
        <f t="shared" si="44"/>
        <v>1.1284116966151434</v>
      </c>
      <c r="BF52" s="90">
        <f t="shared" si="44"/>
        <v>1.1135719040826584</v>
      </c>
      <c r="BG52" s="90">
        <f t="shared" si="44"/>
        <v>0.34039437478359197</v>
      </c>
      <c r="BH52" s="90">
        <f t="shared" si="44"/>
        <v>0.25809022697152006</v>
      </c>
      <c r="BI52" s="90">
        <f t="shared" si="44"/>
        <v>0.2867108061577948</v>
      </c>
      <c r="BJ52" s="90">
        <f t="shared" si="44"/>
        <v>0.9950273179440735</v>
      </c>
      <c r="BK52" s="90">
        <f t="shared" si="44"/>
        <v>0.7603928729573793</v>
      </c>
      <c r="BL52" s="90">
        <f t="shared" si="44"/>
        <v>0.8197783868328787</v>
      </c>
      <c r="BM52" s="90">
        <f t="shared" si="44"/>
        <v>0.4501258746110936</v>
      </c>
      <c r="BN52" s="90">
        <f t="shared" si="44"/>
        <v>0.25060657607271436</v>
      </c>
      <c r="BO52" s="90">
        <f>(BO51/BO50)</f>
        <v>0.299777229989418</v>
      </c>
      <c r="BP52" s="90">
        <f>(BP51/BP50)</f>
        <v>0.5924278483719262</v>
      </c>
      <c r="BQ52" s="90">
        <f>(BQ51/BQ50)</f>
        <v>0.4872828658987314</v>
      </c>
      <c r="BR52" s="90">
        <f>(BR51/BR50)</f>
        <v>0.5256809687566301</v>
      </c>
      <c r="BS52" s="90"/>
      <c r="BT52" s="90">
        <f aca="true" t="shared" si="45" ref="BT52:CY52">(BT51/BT50)</f>
        <v>1.9764385217689913</v>
      </c>
      <c r="BU52" s="90">
        <f t="shared" si="45"/>
        <v>1.9043223942733158</v>
      </c>
      <c r="BV52" s="90">
        <f t="shared" si="45"/>
        <v>0.20463386289586502</v>
      </c>
      <c r="BW52" s="90">
        <f t="shared" si="45"/>
        <v>2.5853478927763844</v>
      </c>
      <c r="BX52" s="90">
        <f t="shared" si="45"/>
        <v>2.654067680356347</v>
      </c>
      <c r="BY52" s="90">
        <f t="shared" si="45"/>
        <v>1.457400975643502</v>
      </c>
      <c r="BZ52" s="90">
        <f t="shared" si="45"/>
        <v>1.7835676323257483</v>
      </c>
      <c r="CA52" s="90">
        <f t="shared" si="45"/>
        <v>1.9087468784446917</v>
      </c>
      <c r="CB52" s="90">
        <f t="shared" si="45"/>
        <v>2.916253907714675</v>
      </c>
      <c r="CC52" s="90">
        <f t="shared" si="45"/>
        <v>2.296969561375354</v>
      </c>
      <c r="CD52" s="90">
        <f t="shared" si="45"/>
        <v>2.563284113200802</v>
      </c>
      <c r="CE52" s="90">
        <f t="shared" si="45"/>
        <v>1.7026006335684498</v>
      </c>
      <c r="CF52" s="90">
        <f t="shared" si="45"/>
        <v>1.843545533798158</v>
      </c>
      <c r="CG52" s="90">
        <f t="shared" si="45"/>
        <v>0.8535707893170265</v>
      </c>
      <c r="CH52" s="90">
        <f t="shared" si="45"/>
        <v>0.875378198645859</v>
      </c>
      <c r="CI52" s="90">
        <f t="shared" si="45"/>
        <v>3.307835282614164</v>
      </c>
      <c r="CJ52" s="90">
        <f t="shared" si="45"/>
        <v>1.6488531823510635</v>
      </c>
      <c r="CK52" s="90">
        <f t="shared" si="45"/>
        <v>2.190454229137533</v>
      </c>
      <c r="CL52" s="90">
        <f t="shared" si="45"/>
        <v>2.811471457881714</v>
      </c>
      <c r="CM52" s="90">
        <f t="shared" si="45"/>
        <v>1.895013552388668</v>
      </c>
      <c r="CN52" s="90">
        <f t="shared" si="45"/>
        <v>2.0212876895481076</v>
      </c>
      <c r="CO52" s="90">
        <f t="shared" si="45"/>
        <v>2.0102039993741547</v>
      </c>
      <c r="CP52" s="90">
        <f t="shared" si="45"/>
        <v>2.0124286512164975</v>
      </c>
      <c r="CQ52" s="90">
        <f t="shared" si="45"/>
        <v>0.30903978932733817</v>
      </c>
      <c r="CR52" s="90">
        <f t="shared" si="45"/>
        <v>0.23726550660194068</v>
      </c>
      <c r="CS52" s="90">
        <f t="shared" si="45"/>
        <v>0.2616277853449554</v>
      </c>
      <c r="CT52" s="90">
        <f t="shared" si="45"/>
        <v>1.8755917825483128</v>
      </c>
      <c r="CU52" s="90">
        <f t="shared" si="45"/>
        <v>1.8561473453832458</v>
      </c>
      <c r="CV52" s="90">
        <f t="shared" si="45"/>
        <v>1.8620036643469267</v>
      </c>
      <c r="CW52" s="90">
        <f t="shared" si="45"/>
        <v>2.0399643960226808</v>
      </c>
      <c r="CX52" s="90">
        <f t="shared" si="45"/>
        <v>1.9786585057577493</v>
      </c>
      <c r="CY52" s="90">
        <f t="shared" si="45"/>
        <v>1.99853367325476</v>
      </c>
      <c r="CZ52" s="90">
        <f aca="true" t="shared" si="46" ref="CZ52:DP52">(CZ51/CZ50)</f>
        <v>1.0996272510985567</v>
      </c>
      <c r="DA52" s="90">
        <f t="shared" si="46"/>
        <v>0.8239166595541618</v>
      </c>
      <c r="DB52" s="90">
        <f t="shared" si="46"/>
        <v>0.9400116529331833</v>
      </c>
      <c r="DC52" s="90">
        <f t="shared" si="46"/>
        <v>0.5464159738718081</v>
      </c>
      <c r="DD52" s="90">
        <f t="shared" si="46"/>
        <v>0.5262741210311044</v>
      </c>
      <c r="DE52" s="90">
        <f t="shared" si="46"/>
        <v>0.8374613319270323</v>
      </c>
      <c r="DF52" s="90">
        <f t="shared" si="46"/>
        <v>2.2745986770525497</v>
      </c>
      <c r="DG52" s="90">
        <f t="shared" si="46"/>
        <v>0.5100749106870519</v>
      </c>
      <c r="DH52" s="90">
        <f t="shared" si="46"/>
        <v>0.5538910909854632</v>
      </c>
      <c r="DI52" s="90">
        <f t="shared" si="46"/>
        <v>2.4509628613838412</v>
      </c>
      <c r="DJ52" s="90">
        <f t="shared" si="46"/>
        <v>1.3248160089015304</v>
      </c>
      <c r="DK52" s="90">
        <f t="shared" si="46"/>
        <v>1.1789430315129918</v>
      </c>
      <c r="DL52" s="90">
        <f t="shared" si="46"/>
        <v>2.3383318007548644</v>
      </c>
      <c r="DM52" s="90">
        <f t="shared" si="46"/>
        <v>1.2516418683844202</v>
      </c>
      <c r="DN52" s="90">
        <f t="shared" si="46"/>
        <v>1.8383735984008533</v>
      </c>
      <c r="DO52" s="90">
        <f t="shared" si="46"/>
        <v>1.4798843232281054</v>
      </c>
      <c r="DP52" s="90">
        <f t="shared" si="46"/>
        <v>1.8469730726569304</v>
      </c>
      <c r="DQ52" s="90"/>
      <c r="DR52" s="90"/>
      <c r="DS52" s="91"/>
      <c r="DT52" s="91"/>
      <c r="DU52" s="91"/>
      <c r="DV52" s="91"/>
      <c r="DW52" s="91"/>
      <c r="DX52" s="91"/>
      <c r="DZ52" s="91"/>
    </row>
    <row r="53" spans="1:14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92"/>
      <c r="BV53" s="92"/>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f>MEDIAN(DE2:DE44)</f>
        <v>11.546380866902487</v>
      </c>
      <c r="DF53" s="6"/>
      <c r="DG53" s="6"/>
      <c r="DH53" s="6"/>
      <c r="DI53" s="6"/>
      <c r="DJ53" s="6"/>
      <c r="DK53" s="6"/>
      <c r="DL53" s="6"/>
      <c r="DM53" s="6"/>
      <c r="DN53" s="6"/>
      <c r="DO53" s="6"/>
      <c r="DP53" s="6"/>
      <c r="DQ53" s="6"/>
      <c r="DR53" s="6"/>
      <c r="DS53" s="6"/>
      <c r="EA53" s="77" t="s">
        <v>554</v>
      </c>
      <c r="EF53" s="77" t="s">
        <v>556</v>
      </c>
      <c r="EJ53" s="77" t="s">
        <v>557</v>
      </c>
    </row>
    <row r="54" spans="73:141" ht="12.75">
      <c r="BU54" s="93"/>
      <c r="BV54" s="93"/>
      <c r="DE54">
        <f>0.5*DE53</f>
        <v>5.773190433451243</v>
      </c>
      <c r="EA54" s="77" t="s">
        <v>552</v>
      </c>
      <c r="EB54" s="77" t="s">
        <v>553</v>
      </c>
      <c r="EF54" s="77" t="s">
        <v>552</v>
      </c>
      <c r="EG54" s="77" t="s">
        <v>553</v>
      </c>
      <c r="EJ54" s="77" t="s">
        <v>552</v>
      </c>
      <c r="EK54" s="77" t="s">
        <v>553</v>
      </c>
    </row>
    <row r="55" spans="73:141" ht="12.75">
      <c r="BU55" s="93"/>
      <c r="BV55" s="93"/>
      <c r="CF55" s="7"/>
      <c r="DE55" s="6">
        <f>MAX(DE2:DE44)</f>
        <v>59.98</v>
      </c>
      <c r="EA55" s="77">
        <f>(EC51*1000)/ED59</f>
        <v>10930.89632199544</v>
      </c>
      <c r="EB55" s="77">
        <f>(EC49*1000)/ED59</f>
        <v>218617.9264399088</v>
      </c>
      <c r="EF55" s="77">
        <f>(EH51*1000)/ED69</f>
        <v>10312.654733760319</v>
      </c>
      <c r="EG55" s="77">
        <f>(EH49*1000)/ED69</f>
        <v>206253.0946752064</v>
      </c>
      <c r="EJ55" s="77">
        <f>(EL51*1000)/ED65</f>
        <v>9117.2798615602</v>
      </c>
      <c r="EK55" s="77">
        <f>(EL49*1000)/ED65</f>
        <v>182345.597231204</v>
      </c>
    </row>
    <row r="56" spans="73:109" ht="12.75">
      <c r="BU56" s="93"/>
      <c r="BV56" s="93"/>
      <c r="CF56" s="7"/>
      <c r="DE56" s="6">
        <f>MIN(DE2:DE44)</f>
        <v>0.22</v>
      </c>
    </row>
    <row r="57" spans="73:84" ht="12.75">
      <c r="BU57" s="93"/>
      <c r="BV57" s="93"/>
      <c r="CF57" s="7"/>
    </row>
    <row r="58" spans="73:136" ht="12.75">
      <c r="BU58" s="93"/>
      <c r="BV58" s="93"/>
      <c r="CF58" s="7"/>
      <c r="EC58" t="s">
        <v>545</v>
      </c>
      <c r="ED58" s="87">
        <v>2768.5</v>
      </c>
      <c r="EF58" s="23" t="s">
        <v>280</v>
      </c>
    </row>
    <row r="59" spans="73:141" ht="12.75">
      <c r="BU59" s="93"/>
      <c r="BV59" s="93"/>
      <c r="CF59" s="7"/>
      <c r="EC59" t="s">
        <v>546</v>
      </c>
      <c r="ED59">
        <f>ED58*100</f>
        <v>276850</v>
      </c>
      <c r="EF59" s="23" t="s">
        <v>277</v>
      </c>
      <c r="EK59">
        <v>64890</v>
      </c>
    </row>
    <row r="60" spans="73:141" ht="12.75">
      <c r="BU60" s="93"/>
      <c r="BV60" s="93"/>
      <c r="CF60" s="7"/>
      <c r="EC60" t="s">
        <v>253</v>
      </c>
      <c r="ED60">
        <f>253521000/1000000</f>
        <v>253.521</v>
      </c>
      <c r="EF60" s="23" t="s">
        <v>278</v>
      </c>
      <c r="EK60">
        <v>25630</v>
      </c>
    </row>
    <row r="61" spans="73:136" ht="12.75">
      <c r="BU61" s="93"/>
      <c r="BV61" s="93"/>
      <c r="CF61" s="7"/>
      <c r="EC61" t="s">
        <v>555</v>
      </c>
      <c r="ED61">
        <f>ED60*100</f>
        <v>25352.1</v>
      </c>
      <c r="EF61" s="23" t="s">
        <v>279</v>
      </c>
    </row>
    <row r="62" spans="73:134" ht="12.75">
      <c r="BU62" s="93"/>
      <c r="BV62" s="93"/>
      <c r="CF62" s="7"/>
      <c r="EC62" t="s">
        <v>149</v>
      </c>
      <c r="ED62">
        <f>334707435/1000000</f>
        <v>334.707435</v>
      </c>
    </row>
    <row r="63" spans="73:134" ht="12.75">
      <c r="BU63" s="93"/>
      <c r="BV63" s="93"/>
      <c r="CF63" s="7"/>
      <c r="EC63" t="s">
        <v>555</v>
      </c>
      <c r="ED63">
        <f>ED62*100</f>
        <v>33470.7435</v>
      </c>
    </row>
    <row r="64" spans="73:134" ht="12.75">
      <c r="BU64" s="93"/>
      <c r="BV64" s="93"/>
      <c r="CF64" s="7"/>
      <c r="EC64" t="s">
        <v>254</v>
      </c>
      <c r="ED64">
        <f>577777889.518164/1000000</f>
        <v>577.777889518164</v>
      </c>
    </row>
    <row r="65" spans="73:134" ht="12.75">
      <c r="BU65" s="93"/>
      <c r="BV65" s="93"/>
      <c r="CF65" s="7"/>
      <c r="EC65" t="s">
        <v>555</v>
      </c>
      <c r="ED65">
        <f>ED64*100</f>
        <v>57777.7889518164</v>
      </c>
    </row>
    <row r="66" spans="73:134" ht="12.75">
      <c r="BU66" s="93"/>
      <c r="BV66" s="93"/>
      <c r="CF66" s="7"/>
      <c r="EC66" t="s">
        <v>255</v>
      </c>
      <c r="ED66">
        <f>617553293.306035/1000000</f>
        <v>617.553293306035</v>
      </c>
    </row>
    <row r="67" spans="73:134" ht="12.75">
      <c r="BU67" s="93"/>
      <c r="BV67" s="93"/>
      <c r="CF67" s="7"/>
      <c r="EC67" t="s">
        <v>555</v>
      </c>
      <c r="ED67">
        <f>ED66*100</f>
        <v>61755.329330603505</v>
      </c>
    </row>
    <row r="68" spans="73:134" ht="12.75">
      <c r="BU68" s="93"/>
      <c r="BV68" s="93"/>
      <c r="CF68" s="7"/>
      <c r="EC68" t="s">
        <v>256</v>
      </c>
      <c r="ED68">
        <f>984940382.1758/1000000</f>
        <v>984.9403821758</v>
      </c>
    </row>
    <row r="69" spans="73:134" ht="12.75">
      <c r="BU69" s="93"/>
      <c r="BV69" s="93"/>
      <c r="CF69" s="7"/>
      <c r="EC69" t="s">
        <v>555</v>
      </c>
      <c r="ED69">
        <f>ED68*100</f>
        <v>98494.03821758</v>
      </c>
    </row>
    <row r="70" spans="73:84" ht="12.75">
      <c r="BU70" s="93"/>
      <c r="BV70" s="93"/>
      <c r="CF70" s="7"/>
    </row>
    <row r="71" spans="73:84" ht="12.75">
      <c r="BU71" s="93"/>
      <c r="BV71" s="93"/>
      <c r="CF71" s="7"/>
    </row>
    <row r="72" spans="73:134" ht="12.75">
      <c r="BU72" s="93"/>
      <c r="BV72" s="93"/>
      <c r="CF72" s="7"/>
      <c r="ED72" s="7">
        <f>AVERAGE(ED4,ED31,ED36,ED42)</f>
        <v>49.329760058291434</v>
      </c>
    </row>
    <row r="73" spans="73:127" ht="12.75">
      <c r="BU73" s="93"/>
      <c r="BV73" s="93"/>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5"/>
      <c r="DE73" s="94"/>
      <c r="DF73" s="94"/>
      <c r="DG73" s="94"/>
      <c r="DH73" s="94"/>
      <c r="DI73" s="94"/>
      <c r="DJ73" s="94"/>
      <c r="DK73" s="96"/>
      <c r="DL73" s="94"/>
      <c r="DM73" s="94"/>
      <c r="DN73" s="94"/>
      <c r="DO73" s="94"/>
      <c r="DP73" s="94"/>
      <c r="DQ73" s="94"/>
      <c r="DR73" s="94"/>
      <c r="DS73" s="94"/>
      <c r="DT73" s="94"/>
      <c r="DU73" s="94"/>
      <c r="DV73" s="94"/>
      <c r="DW73" s="94"/>
    </row>
    <row r="74" spans="73:84" ht="12.75">
      <c r="BU74" s="93"/>
      <c r="BV74" s="93"/>
      <c r="CF74" s="7"/>
    </row>
    <row r="75" spans="73:84" ht="12.75">
      <c r="BU75" s="93"/>
      <c r="BV75" s="8"/>
      <c r="CF75" s="7"/>
    </row>
    <row r="76" spans="73:84" ht="12.75">
      <c r="BU76" s="93"/>
      <c r="BV76" s="8"/>
      <c r="CF76" s="7"/>
    </row>
    <row r="77" spans="73:84" ht="12.75">
      <c r="BU77" s="93"/>
      <c r="BV77" s="8"/>
      <c r="CF77" s="7"/>
    </row>
    <row r="78" spans="74:84" ht="12.75">
      <c r="BV78" s="8"/>
      <c r="CF78" s="7"/>
    </row>
    <row r="79" spans="74:84" ht="12.75">
      <c r="BV79" s="8"/>
      <c r="CF79" s="7"/>
    </row>
    <row r="80" spans="74:84" ht="12.75">
      <c r="BV80" s="8"/>
      <c r="CF80" s="7"/>
    </row>
    <row r="81" spans="74:84" ht="12.75">
      <c r="BV81" s="8"/>
      <c r="CF81" s="7"/>
    </row>
    <row r="82" spans="74:84" ht="12.75">
      <c r="BV82" s="8"/>
      <c r="CF82" s="7"/>
    </row>
    <row r="83" spans="74:84" ht="12.75">
      <c r="BV83" s="8"/>
      <c r="CF83" s="7"/>
    </row>
    <row r="84" spans="74:84" ht="12.75">
      <c r="BV84" s="8"/>
      <c r="CF84" s="7"/>
    </row>
    <row r="85" spans="74:84" ht="12.75">
      <c r="BV85" s="8"/>
      <c r="CF85" s="7"/>
    </row>
    <row r="86" spans="74:84" ht="12.75">
      <c r="BV86" s="8"/>
      <c r="CF86" s="7"/>
    </row>
    <row r="87" spans="74:84" ht="12.75">
      <c r="BV87" s="8"/>
      <c r="CF87" s="7"/>
    </row>
    <row r="88" spans="74:84" ht="12.75">
      <c r="BV88" s="8"/>
      <c r="CF88" s="7"/>
    </row>
    <row r="89" spans="74:84" ht="12.75">
      <c r="BV89" s="8"/>
      <c r="CF89" s="7"/>
    </row>
    <row r="90" spans="74:84" ht="12.75">
      <c r="BV90" s="8"/>
      <c r="CF90" s="7"/>
    </row>
    <row r="91" spans="74:84" ht="12.75">
      <c r="BV91" s="8"/>
      <c r="CF91" s="7"/>
    </row>
    <row r="92" spans="74:84" ht="12.75">
      <c r="BV92" s="8"/>
      <c r="CF92" s="7"/>
    </row>
    <row r="93" spans="74:84" ht="12.75">
      <c r="BV93" s="8"/>
      <c r="CF93" s="7"/>
    </row>
    <row r="94" spans="74:84" ht="12.75">
      <c r="BV94" s="8"/>
      <c r="CF94" s="7"/>
    </row>
    <row r="95" spans="74:84" ht="12.75">
      <c r="BV95" s="8"/>
      <c r="CF95" s="7"/>
    </row>
    <row r="96" spans="74:84" ht="12.75">
      <c r="BV96" s="8"/>
      <c r="CF96" s="7"/>
    </row>
    <row r="97" ht="12.75">
      <c r="BV97" s="8"/>
    </row>
    <row r="98" ht="12.75">
      <c r="BV98" s="8"/>
    </row>
    <row r="99" ht="12.75">
      <c r="BV99" s="67"/>
    </row>
    <row r="100" ht="12.75">
      <c r="BV100" s="8"/>
    </row>
    <row r="101" ht="12.75">
      <c r="BV101" s="8"/>
    </row>
    <row r="102" ht="12.75">
      <c r="BV102" s="8"/>
    </row>
    <row r="103" ht="12.75">
      <c r="BV103" s="8"/>
    </row>
    <row r="104" ht="12.75">
      <c r="BV104" s="8"/>
    </row>
    <row r="105" ht="12.75">
      <c r="BV105" s="8"/>
    </row>
    <row r="106" ht="12.75">
      <c r="BV106" s="70"/>
    </row>
    <row r="107" ht="12.75">
      <c r="BV107" s="8"/>
    </row>
    <row r="108" ht="12.75">
      <c r="BV108" s="8"/>
    </row>
    <row r="109" ht="12.75">
      <c r="BV109" s="8"/>
    </row>
    <row r="110" ht="12.75">
      <c r="BV110" s="8"/>
    </row>
    <row r="111" ht="12.75">
      <c r="BV111" s="8"/>
    </row>
    <row r="112" ht="12.75">
      <c r="BV112" s="8"/>
    </row>
    <row r="113" ht="12.75">
      <c r="BV113" s="8"/>
    </row>
    <row r="114" ht="12.75">
      <c r="BV114" s="8"/>
    </row>
    <row r="115" ht="12.75">
      <c r="BV115" s="8"/>
    </row>
    <row r="116" ht="12.75">
      <c r="BV116" s="8"/>
    </row>
    <row r="117" ht="12.75">
      <c r="BV117" s="8"/>
    </row>
    <row r="118" ht="12.75">
      <c r="BV118" s="8"/>
    </row>
  </sheetData>
  <printOptions/>
  <pageMargins left="0.75" right="0.75" top="1"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dimension ref="A1:AL217"/>
  <sheetViews>
    <sheetView zoomScale="50" zoomScaleNormal="50" workbookViewId="0" topLeftCell="A1">
      <selection activeCell="A28" sqref="A28"/>
    </sheetView>
  </sheetViews>
  <sheetFormatPr defaultColWidth="9.140625" defaultRowHeight="12.75"/>
  <cols>
    <col min="1" max="1" width="33.7109375" style="0" customWidth="1"/>
    <col min="2" max="2" width="6.140625" style="0" customWidth="1"/>
    <col min="3" max="3" width="8.140625" style="0" customWidth="1"/>
    <col min="4" max="4" width="20.28125" style="0" customWidth="1"/>
    <col min="5" max="5" width="24.8515625" style="0" customWidth="1"/>
    <col min="6" max="6" width="35.8515625" style="0" customWidth="1"/>
    <col min="7" max="7" width="9.7109375" style="0" bestFit="1" customWidth="1"/>
    <col min="9" max="9" width="9.00390625" style="0" bestFit="1" customWidth="1"/>
    <col min="12" max="12" width="10.28125" style="0" bestFit="1" customWidth="1"/>
    <col min="13" max="13" width="13.7109375" style="0" bestFit="1" customWidth="1"/>
    <col min="14" max="15" width="9.00390625" style="0" bestFit="1" customWidth="1"/>
  </cols>
  <sheetData>
    <row r="1" spans="1:6" ht="12.75">
      <c r="A1" s="107" t="s">
        <v>593</v>
      </c>
      <c r="B1" s="107"/>
      <c r="C1" s="107"/>
      <c r="D1" s="107"/>
      <c r="E1" s="107"/>
      <c r="F1" s="107"/>
    </row>
    <row r="2" spans="4:6" s="98" customFormat="1" ht="52.5">
      <c r="D2" s="99" t="s">
        <v>559</v>
      </c>
      <c r="E2" s="99" t="s">
        <v>560</v>
      </c>
      <c r="F2" s="99" t="s">
        <v>561</v>
      </c>
    </row>
    <row r="3" spans="1:6" ht="12.75">
      <c r="A3" t="s">
        <v>562</v>
      </c>
      <c r="D3" s="100">
        <v>0.014874300596078133</v>
      </c>
      <c r="E3" s="100">
        <v>0.0900757870371573</v>
      </c>
      <c r="F3" s="6">
        <v>6.323230685384073</v>
      </c>
    </row>
    <row r="4" spans="1:6" ht="12.75">
      <c r="A4" t="s">
        <v>563</v>
      </c>
      <c r="D4" s="100">
        <v>0.03211461336091845</v>
      </c>
      <c r="E4" s="100">
        <v>0.3059359740912087</v>
      </c>
      <c r="F4" s="6">
        <v>5.298643426190196</v>
      </c>
    </row>
    <row r="5" spans="1:6" ht="12.75">
      <c r="A5" t="s">
        <v>564</v>
      </c>
      <c r="D5" s="100">
        <v>0.1969603612583258</v>
      </c>
      <c r="E5" s="100">
        <v>0.3061843262032402</v>
      </c>
      <c r="F5" s="6">
        <v>6.385891901163449</v>
      </c>
    </row>
    <row r="6" spans="1:6" ht="12.75">
      <c r="A6" t="s">
        <v>565</v>
      </c>
      <c r="D6" s="100">
        <v>0.02666486673038662</v>
      </c>
      <c r="E6" s="100">
        <v>0.20861516578391298</v>
      </c>
      <c r="F6" s="6">
        <v>4.7440364116216305</v>
      </c>
    </row>
    <row r="8" spans="4:10" ht="52.5">
      <c r="D8" s="99" t="s">
        <v>566</v>
      </c>
      <c r="E8" s="99" t="s">
        <v>567</v>
      </c>
      <c r="F8" s="1" t="s">
        <v>568</v>
      </c>
      <c r="G8" s="1" t="s">
        <v>569</v>
      </c>
      <c r="I8" s="1" t="s">
        <v>570</v>
      </c>
      <c r="J8" s="1" t="s">
        <v>571</v>
      </c>
    </row>
    <row r="9" spans="1:20" ht="12.75">
      <c r="A9" t="s">
        <v>562</v>
      </c>
      <c r="D9" s="6">
        <v>11.544889159537941</v>
      </c>
      <c r="E9" s="6">
        <v>20.339059804910853</v>
      </c>
      <c r="F9" s="6">
        <v>3.573690919643771</v>
      </c>
      <c r="G9" s="6">
        <v>2.266995514112475</v>
      </c>
      <c r="I9">
        <v>2670.7</v>
      </c>
      <c r="J9" s="58">
        <v>5980.12319244949</v>
      </c>
      <c r="P9" s="129" t="s">
        <v>620</v>
      </c>
      <c r="Q9" s="1" t="s">
        <v>572</v>
      </c>
      <c r="R9" s="1" t="s">
        <v>573</v>
      </c>
      <c r="S9" s="1" t="s">
        <v>574</v>
      </c>
      <c r="T9" s="1"/>
    </row>
    <row r="10" spans="1:20" ht="12.75">
      <c r="A10" t="s">
        <v>563</v>
      </c>
      <c r="D10" s="6">
        <v>24.926190596886073</v>
      </c>
      <c r="E10" s="6">
        <v>69.08016325128439</v>
      </c>
      <c r="F10" s="6">
        <v>3.4417933989833225</v>
      </c>
      <c r="G10" s="6">
        <v>2.1064695635270687</v>
      </c>
      <c r="P10" s="1" t="s">
        <v>575</v>
      </c>
      <c r="Q10" s="1"/>
      <c r="R10" s="1">
        <v>0.07163150543767337</v>
      </c>
      <c r="S10" s="1">
        <v>0.045439940148074114</v>
      </c>
      <c r="T10" s="1"/>
    </row>
    <row r="11" spans="1:20" ht="12.75">
      <c r="A11" t="s">
        <v>564</v>
      </c>
      <c r="D11" s="6">
        <v>152.87344267800202</v>
      </c>
      <c r="E11" s="6">
        <v>69.13624101230579</v>
      </c>
      <c r="F11" s="6">
        <v>3.281571058616463</v>
      </c>
      <c r="G11" s="6">
        <v>6.527085485098465</v>
      </c>
      <c r="P11" s="1" t="s">
        <v>576</v>
      </c>
      <c r="Q11" s="1"/>
      <c r="R11" s="1">
        <v>0.0689877351226551</v>
      </c>
      <c r="S11" s="1">
        <v>0.042222338021644996</v>
      </c>
      <c r="T11" s="1"/>
    </row>
    <row r="12" spans="1:20" ht="12.75">
      <c r="A12" t="s">
        <v>565</v>
      </c>
      <c r="D12" s="6">
        <v>20.696296196765882</v>
      </c>
      <c r="E12" s="6">
        <v>47.105181899105666</v>
      </c>
      <c r="P12" s="1" t="s">
        <v>577</v>
      </c>
      <c r="Q12" s="1"/>
      <c r="R12" s="1">
        <v>0.0657762185972222</v>
      </c>
      <c r="S12" s="1">
        <v>0.1308297135737175</v>
      </c>
      <c r="T12" s="1"/>
    </row>
    <row r="13" spans="4:19" ht="12.75">
      <c r="D13" s="6"/>
      <c r="E13" s="6"/>
      <c r="P13" s="1" t="s">
        <v>578</v>
      </c>
      <c r="R13" s="1">
        <v>0.06879848638585023</v>
      </c>
      <c r="S13" s="1">
        <v>0.07283066391447887</v>
      </c>
    </row>
    <row r="14" spans="1:7" ht="12.75">
      <c r="A14" s="101" t="s">
        <v>579</v>
      </c>
      <c r="B14" s="101"/>
      <c r="C14" s="101"/>
      <c r="D14" s="102">
        <v>52.51020465779798</v>
      </c>
      <c r="E14" s="102">
        <v>51.41516149190168</v>
      </c>
      <c r="F14" s="102">
        <v>3.4323517924145186</v>
      </c>
      <c r="G14" s="102">
        <v>3.6335168542460026</v>
      </c>
    </row>
    <row r="15" ht="12.75">
      <c r="D15" s="98"/>
    </row>
    <row r="16" spans="1:9" ht="39">
      <c r="A16" s="103" t="s">
        <v>580</v>
      </c>
      <c r="B16" s="101"/>
      <c r="C16" s="101"/>
      <c r="D16" s="102">
        <v>103.92536614969966</v>
      </c>
      <c r="E16" s="102"/>
      <c r="F16" s="2">
        <v>7.065868646660521</v>
      </c>
      <c r="G16" s="6"/>
      <c r="I16">
        <v>3600</v>
      </c>
    </row>
    <row r="17" spans="1:15" ht="12.75">
      <c r="A17" s="300">
        <f>D9+E9</f>
        <v>31.883948964448795</v>
      </c>
      <c r="B17" s="301"/>
      <c r="C17" s="301"/>
      <c r="D17" s="301"/>
      <c r="E17" s="301"/>
      <c r="I17" s="58">
        <v>0.6724969274384719</v>
      </c>
      <c r="N17" t="s">
        <v>600</v>
      </c>
      <c r="O17" t="s">
        <v>601</v>
      </c>
    </row>
    <row r="18" spans="1:15" ht="78" customHeight="1">
      <c r="A18" s="272"/>
      <c r="B18" s="272"/>
      <c r="C18" s="272"/>
      <c r="D18" s="272"/>
      <c r="E18" s="272"/>
      <c r="F18" s="104" t="s">
        <v>581</v>
      </c>
      <c r="G18" s="105">
        <v>110.99123479636017</v>
      </c>
      <c r="K18" t="s">
        <v>594</v>
      </c>
      <c r="L18">
        <v>3.015421926040169</v>
      </c>
      <c r="M18" s="106"/>
      <c r="N18" s="108">
        <f>(L23*(D9+E9))/1000000000+R12+S12</f>
        <v>1.3692523819147973</v>
      </c>
      <c r="O18" s="108">
        <f>(L21*D16)/1000000000+R13+S13</f>
        <v>1.8683538001711517</v>
      </c>
    </row>
    <row r="19" spans="1:13" ht="78" customHeight="1">
      <c r="A19" s="300">
        <f>D11+E11</f>
        <v>222.0096836903078</v>
      </c>
      <c r="B19" s="301"/>
      <c r="C19" s="301"/>
      <c r="D19" s="301"/>
      <c r="E19" s="301"/>
      <c r="F19" s="104" t="s">
        <v>582</v>
      </c>
      <c r="G19" s="1">
        <v>155.53067743194575</v>
      </c>
      <c r="K19" t="s">
        <v>595</v>
      </c>
      <c r="L19">
        <v>30154219.26040169</v>
      </c>
      <c r="M19" s="58"/>
    </row>
    <row r="20" spans="1:17" ht="39" customHeight="1">
      <c r="A20" s="272"/>
      <c r="B20" s="272"/>
      <c r="C20" s="272"/>
      <c r="D20" s="272"/>
      <c r="E20" s="272"/>
      <c r="K20" t="s">
        <v>596</v>
      </c>
      <c r="L20">
        <v>1.661504514098662</v>
      </c>
      <c r="N20" s="6">
        <f>D11+E11</f>
        <v>222.0096836903078</v>
      </c>
      <c r="Q20">
        <f>R13+S13</f>
        <v>0.1416291503003291</v>
      </c>
    </row>
    <row r="21" spans="1:12" ht="12.75">
      <c r="A21" s="101" t="s">
        <v>583</v>
      </c>
      <c r="B21" s="101" t="s">
        <v>584</v>
      </c>
      <c r="C21" s="101" t="s">
        <v>585</v>
      </c>
      <c r="D21" s="101" t="s">
        <v>586</v>
      </c>
      <c r="E21" s="1" t="s">
        <v>587</v>
      </c>
      <c r="F21" s="1" t="s">
        <v>588</v>
      </c>
      <c r="K21" t="s">
        <v>597</v>
      </c>
      <c r="L21">
        <f>L20*10000000</f>
        <v>16615045.14098662</v>
      </c>
    </row>
    <row r="22" spans="1:15" ht="12.75">
      <c r="A22">
        <v>12.6967140948403</v>
      </c>
      <c r="B22">
        <v>11.3604029232656</v>
      </c>
      <c r="C22">
        <v>14.033025266415</v>
      </c>
      <c r="D22">
        <v>2</v>
      </c>
      <c r="E22">
        <v>5E-05</v>
      </c>
      <c r="F22">
        <v>5E-05</v>
      </c>
      <c r="K22" t="s">
        <v>598</v>
      </c>
      <c r="L22">
        <v>3.6778582573048917</v>
      </c>
      <c r="O22">
        <f>(382.3*100*Q20)/1000</f>
        <v>5.414482415981582</v>
      </c>
    </row>
    <row r="23" spans="1:12" ht="12.75">
      <c r="A23">
        <v>15.369336437989649</v>
      </c>
      <c r="B23">
        <v>14.033025266415</v>
      </c>
      <c r="C23">
        <v>16.7056476095643</v>
      </c>
      <c r="D23">
        <v>61</v>
      </c>
      <c r="E23">
        <v>0.001525</v>
      </c>
      <c r="F23">
        <v>0.001575</v>
      </c>
      <c r="K23" t="s">
        <v>599</v>
      </c>
      <c r="L23">
        <f>L22*10000000</f>
        <v>36778582.57304892</v>
      </c>
    </row>
    <row r="24" spans="1:6" ht="12.75">
      <c r="A24">
        <v>18.041958781139</v>
      </c>
      <c r="B24">
        <v>16.7056476095643</v>
      </c>
      <c r="C24">
        <v>19.3782699527137</v>
      </c>
      <c r="D24">
        <v>371</v>
      </c>
      <c r="E24">
        <v>0.009275</v>
      </c>
      <c r="F24">
        <v>0.01085</v>
      </c>
    </row>
    <row r="25" spans="1:6" ht="12.75">
      <c r="A25">
        <v>20.71458112428835</v>
      </c>
      <c r="B25">
        <v>19.3782699527137</v>
      </c>
      <c r="C25">
        <v>22.050892295863</v>
      </c>
      <c r="D25">
        <v>1028</v>
      </c>
      <c r="E25">
        <v>0.0257</v>
      </c>
      <c r="F25">
        <v>0.03655</v>
      </c>
    </row>
    <row r="26" spans="1:6" ht="12.75">
      <c r="A26">
        <v>23.3872034674377</v>
      </c>
      <c r="B26">
        <v>22.050892295863</v>
      </c>
      <c r="C26">
        <v>24.7235146390124</v>
      </c>
      <c r="D26">
        <v>1251</v>
      </c>
      <c r="E26">
        <v>0.031275</v>
      </c>
      <c r="F26">
        <v>0.067825</v>
      </c>
    </row>
    <row r="27" spans="1:6" ht="12.75">
      <c r="A27">
        <v>26.05982581058705</v>
      </c>
      <c r="B27">
        <v>24.7235146390124</v>
      </c>
      <c r="C27">
        <v>27.3961369821617</v>
      </c>
      <c r="D27">
        <v>1300</v>
      </c>
      <c r="E27">
        <v>0.0325</v>
      </c>
      <c r="F27">
        <v>0.100325</v>
      </c>
    </row>
    <row r="28" spans="1:6" ht="12.75">
      <c r="A28">
        <v>28.7324481537364</v>
      </c>
      <c r="B28">
        <v>27.3961369821617</v>
      </c>
      <c r="C28">
        <v>30.0687593253111</v>
      </c>
      <c r="D28">
        <v>1365</v>
      </c>
      <c r="E28">
        <v>0.034125</v>
      </c>
      <c r="F28">
        <v>0.13445000000000001</v>
      </c>
    </row>
    <row r="29" spans="1:6" ht="12.75">
      <c r="A29">
        <v>31.40507049688575</v>
      </c>
      <c r="B29">
        <v>30.0687593253111</v>
      </c>
      <c r="C29">
        <v>32.7413816684604</v>
      </c>
      <c r="D29">
        <v>1497</v>
      </c>
      <c r="E29">
        <v>0.037425</v>
      </c>
      <c r="F29">
        <v>0.171875</v>
      </c>
    </row>
    <row r="30" spans="1:6" ht="12.75">
      <c r="A30">
        <v>34.0776928400351</v>
      </c>
      <c r="B30">
        <v>32.7413816684604</v>
      </c>
      <c r="C30">
        <v>35.4140040116098</v>
      </c>
      <c r="D30">
        <v>1541</v>
      </c>
      <c r="E30">
        <v>0.038525</v>
      </c>
      <c r="F30">
        <v>0.2104</v>
      </c>
    </row>
    <row r="31" spans="1:6" ht="12.75">
      <c r="A31">
        <v>36.75031518318445</v>
      </c>
      <c r="B31">
        <v>35.4140040116098</v>
      </c>
      <c r="C31">
        <v>38.0866263547591</v>
      </c>
      <c r="D31">
        <v>1536</v>
      </c>
      <c r="E31">
        <v>0.0384</v>
      </c>
      <c r="F31">
        <v>0.2488</v>
      </c>
    </row>
    <row r="32" spans="1:6" ht="12.75">
      <c r="A32">
        <v>39.4229375263338</v>
      </c>
      <c r="B32">
        <v>38.0866263547591</v>
      </c>
      <c r="C32">
        <v>40.7592486979085</v>
      </c>
      <c r="D32">
        <v>1728</v>
      </c>
      <c r="E32">
        <v>0.0432</v>
      </c>
      <c r="F32">
        <v>0.292</v>
      </c>
    </row>
    <row r="33" spans="1:6" ht="12.75">
      <c r="A33">
        <v>42.095559869483154</v>
      </c>
      <c r="B33">
        <v>40.7592486979085</v>
      </c>
      <c r="C33">
        <v>43.4318710410578</v>
      </c>
      <c r="D33">
        <v>1758</v>
      </c>
      <c r="E33">
        <v>0.04395</v>
      </c>
      <c r="F33">
        <v>0.33594999999999997</v>
      </c>
    </row>
    <row r="34" spans="1:6" ht="12.75">
      <c r="A34">
        <v>44.7681822126325</v>
      </c>
      <c r="B34">
        <v>43.4318710410578</v>
      </c>
      <c r="C34">
        <v>46.1044933842072</v>
      </c>
      <c r="D34">
        <v>1789</v>
      </c>
      <c r="E34">
        <v>0.044725</v>
      </c>
      <c r="F34">
        <v>0.380675</v>
      </c>
    </row>
    <row r="35" spans="1:6" ht="12.75">
      <c r="A35">
        <v>47.44080455578185</v>
      </c>
      <c r="B35">
        <v>46.1044933842072</v>
      </c>
      <c r="C35">
        <v>48.7771157273565</v>
      </c>
      <c r="D35">
        <v>1899</v>
      </c>
      <c r="E35">
        <v>0.047475</v>
      </c>
      <c r="F35">
        <v>0.42815</v>
      </c>
    </row>
    <row r="36" spans="1:6" ht="12.75">
      <c r="A36">
        <v>50.1134268989312</v>
      </c>
      <c r="B36">
        <v>48.7771157273565</v>
      </c>
      <c r="C36">
        <v>51.4497380705059</v>
      </c>
      <c r="D36">
        <v>2024</v>
      </c>
      <c r="E36">
        <v>0.0506</v>
      </c>
      <c r="F36">
        <v>0.47875</v>
      </c>
    </row>
    <row r="37" spans="1:6" ht="12.75">
      <c r="A37">
        <v>52.78604924208055</v>
      </c>
      <c r="B37">
        <v>51.4497380705059</v>
      </c>
      <c r="C37">
        <v>54.1223604136552</v>
      </c>
      <c r="D37">
        <v>2143</v>
      </c>
      <c r="E37">
        <v>0.053575</v>
      </c>
      <c r="F37">
        <v>0.5323249999999999</v>
      </c>
    </row>
    <row r="38" spans="1:6" ht="12.75">
      <c r="A38">
        <v>55.4586715852299</v>
      </c>
      <c r="B38">
        <v>54.1223604136552</v>
      </c>
      <c r="C38">
        <v>56.7949827568046</v>
      </c>
      <c r="D38">
        <v>2225</v>
      </c>
      <c r="E38">
        <v>0.055625</v>
      </c>
      <c r="F38">
        <v>0.58795</v>
      </c>
    </row>
    <row r="39" spans="1:6" ht="12.75">
      <c r="A39">
        <v>58.13129392837925</v>
      </c>
      <c r="B39">
        <v>56.7949827568046</v>
      </c>
      <c r="C39">
        <v>59.4676050999539</v>
      </c>
      <c r="D39">
        <v>2305</v>
      </c>
      <c r="E39">
        <v>0.057625</v>
      </c>
      <c r="F39">
        <v>0.645575</v>
      </c>
    </row>
    <row r="40" spans="1:6" ht="12.75">
      <c r="A40">
        <v>60.8039162715286</v>
      </c>
      <c r="B40">
        <v>59.4676050999539</v>
      </c>
      <c r="C40">
        <v>62.1402274431033</v>
      </c>
      <c r="D40">
        <v>2253</v>
      </c>
      <c r="E40">
        <v>0.056325</v>
      </c>
      <c r="F40">
        <v>0.7019</v>
      </c>
    </row>
    <row r="41" spans="1:6" ht="12.75">
      <c r="A41">
        <v>63.47653861467795</v>
      </c>
      <c r="B41">
        <v>62.1402274431033</v>
      </c>
      <c r="C41">
        <v>64.8128497862526</v>
      </c>
      <c r="D41">
        <v>1983</v>
      </c>
      <c r="E41">
        <v>0.049575</v>
      </c>
      <c r="F41">
        <v>0.751475</v>
      </c>
    </row>
    <row r="42" spans="1:6" ht="12.75">
      <c r="A42">
        <v>66.14916095782729</v>
      </c>
      <c r="B42">
        <v>64.8128497862526</v>
      </c>
      <c r="C42">
        <v>67.485472129402</v>
      </c>
      <c r="D42">
        <v>1752</v>
      </c>
      <c r="E42">
        <v>0.0438</v>
      </c>
      <c r="F42">
        <v>0.795275</v>
      </c>
    </row>
    <row r="43" spans="1:6" ht="12.75">
      <c r="A43">
        <v>68.82178330097665</v>
      </c>
      <c r="B43">
        <v>67.485472129402</v>
      </c>
      <c r="C43">
        <v>70.1580944725513</v>
      </c>
      <c r="D43">
        <v>1507</v>
      </c>
      <c r="E43">
        <v>0.037675</v>
      </c>
      <c r="F43">
        <v>0.83295</v>
      </c>
    </row>
    <row r="44" spans="1:6" ht="12.75">
      <c r="A44">
        <v>71.494405644126</v>
      </c>
      <c r="B44">
        <v>70.1580944725513</v>
      </c>
      <c r="C44">
        <v>72.8307168157007</v>
      </c>
      <c r="D44">
        <v>1363</v>
      </c>
      <c r="E44">
        <v>0.034075</v>
      </c>
      <c r="F44">
        <v>0.8670249999999999</v>
      </c>
    </row>
    <row r="45" spans="1:6" ht="12.75">
      <c r="A45">
        <v>74.16702798727535</v>
      </c>
      <c r="B45">
        <v>72.8307168157007</v>
      </c>
      <c r="C45">
        <v>75.50333915885</v>
      </c>
      <c r="D45">
        <v>1098</v>
      </c>
      <c r="E45">
        <v>0.02745</v>
      </c>
      <c r="F45">
        <v>0.8944749999999999</v>
      </c>
    </row>
    <row r="46" spans="1:6" ht="12.75">
      <c r="A46">
        <v>76.83965033042469</v>
      </c>
      <c r="B46">
        <v>75.50333915885</v>
      </c>
      <c r="C46">
        <v>78.1759615019994</v>
      </c>
      <c r="D46">
        <v>865</v>
      </c>
      <c r="E46">
        <v>0.021625</v>
      </c>
      <c r="F46">
        <v>0.9160999999999999</v>
      </c>
    </row>
    <row r="47" spans="1:6" ht="12.75">
      <c r="A47">
        <v>79.51227267357405</v>
      </c>
      <c r="B47">
        <v>78.1759615019994</v>
      </c>
      <c r="C47">
        <v>80.8485838451487</v>
      </c>
      <c r="D47">
        <v>721</v>
      </c>
      <c r="E47">
        <v>0.018025</v>
      </c>
      <c r="F47">
        <v>0.9341249999999999</v>
      </c>
    </row>
    <row r="48" spans="1:6" ht="12.75">
      <c r="A48">
        <v>82.1848950167234</v>
      </c>
      <c r="B48">
        <v>80.8485838451487</v>
      </c>
      <c r="C48">
        <v>83.5212061882981</v>
      </c>
      <c r="D48">
        <v>546</v>
      </c>
      <c r="E48">
        <v>0.01365</v>
      </c>
      <c r="F48">
        <v>0.9477749999999999</v>
      </c>
    </row>
    <row r="49" spans="1:6" ht="12.75">
      <c r="A49">
        <v>84.85751735987274</v>
      </c>
      <c r="B49">
        <v>83.5212061882981</v>
      </c>
      <c r="C49">
        <v>86.1938285314474</v>
      </c>
      <c r="D49">
        <v>448</v>
      </c>
      <c r="E49">
        <v>0.0112</v>
      </c>
      <c r="F49">
        <v>0.9589749999999999</v>
      </c>
    </row>
    <row r="50" spans="1:6" ht="12.75">
      <c r="A50">
        <v>87.53013970302209</v>
      </c>
      <c r="B50">
        <v>86.1938285314474</v>
      </c>
      <c r="C50">
        <v>88.8664508745968</v>
      </c>
      <c r="D50">
        <v>315</v>
      </c>
      <c r="E50">
        <v>0.007875</v>
      </c>
      <c r="F50">
        <v>0.9668499999999999</v>
      </c>
    </row>
    <row r="51" spans="1:6" ht="12.75">
      <c r="A51">
        <v>90.20276204617144</v>
      </c>
      <c r="B51">
        <v>88.8664508745968</v>
      </c>
      <c r="C51">
        <v>91.5390732177461</v>
      </c>
      <c r="D51">
        <v>288</v>
      </c>
      <c r="E51">
        <v>0.0072</v>
      </c>
      <c r="F51">
        <v>0.9740499999999999</v>
      </c>
    </row>
    <row r="52" spans="1:6" ht="12.75">
      <c r="A52">
        <v>92.8753843893208</v>
      </c>
      <c r="B52">
        <v>91.5390732177461</v>
      </c>
      <c r="C52">
        <v>94.2116955608955</v>
      </c>
      <c r="D52">
        <v>215</v>
      </c>
      <c r="E52">
        <v>0.005375</v>
      </c>
      <c r="F52">
        <v>0.9794249999999999</v>
      </c>
    </row>
    <row r="53" spans="1:6" ht="12.75">
      <c r="A53">
        <v>95.54800673247016</v>
      </c>
      <c r="B53">
        <v>94.2116955608955</v>
      </c>
      <c r="C53">
        <v>96.8843179040448</v>
      </c>
      <c r="D53">
        <v>181</v>
      </c>
      <c r="E53">
        <v>0.004525</v>
      </c>
      <c r="F53">
        <v>0.9839499999999999</v>
      </c>
    </row>
    <row r="54" spans="1:6" ht="12.75">
      <c r="A54">
        <v>98.22062907561951</v>
      </c>
      <c r="B54">
        <v>96.8843179040448</v>
      </c>
      <c r="C54">
        <v>99.5569402471942</v>
      </c>
      <c r="D54">
        <v>147</v>
      </c>
      <c r="E54">
        <v>0.003675</v>
      </c>
      <c r="F54">
        <v>0.9876249999999999</v>
      </c>
    </row>
    <row r="55" spans="1:6" ht="12.75">
      <c r="A55">
        <v>100.8932514187686</v>
      </c>
      <c r="B55">
        <v>99.5569402471942</v>
      </c>
      <c r="C55">
        <v>102.229562590343</v>
      </c>
      <c r="D55">
        <v>111</v>
      </c>
      <c r="E55">
        <v>0.002775</v>
      </c>
      <c r="F55">
        <v>0.9903999999999998</v>
      </c>
    </row>
    <row r="56" spans="1:6" ht="12.75">
      <c r="A56">
        <v>103.56587376191749</v>
      </c>
      <c r="B56">
        <v>102.229562590343</v>
      </c>
      <c r="C56">
        <v>104.902184933492</v>
      </c>
      <c r="D56">
        <v>78</v>
      </c>
      <c r="E56">
        <v>0.00195</v>
      </c>
      <c r="F56">
        <v>0.9923499999999998</v>
      </c>
    </row>
    <row r="57" spans="1:6" ht="12.75">
      <c r="A57">
        <v>106.238496105067</v>
      </c>
      <c r="B57">
        <v>104.902184933492</v>
      </c>
      <c r="C57">
        <v>107.574807276642</v>
      </c>
      <c r="D57">
        <v>69</v>
      </c>
      <c r="E57">
        <v>0.001725</v>
      </c>
      <c r="F57">
        <v>0.9940749999999998</v>
      </c>
    </row>
    <row r="58" spans="1:6" ht="12.75">
      <c r="A58">
        <v>108.91111844821651</v>
      </c>
      <c r="B58">
        <v>107.574807276642</v>
      </c>
      <c r="C58">
        <v>110.247429619791</v>
      </c>
      <c r="D58">
        <v>63</v>
      </c>
      <c r="E58">
        <v>0.001575</v>
      </c>
      <c r="F58">
        <v>0.9956499999999998</v>
      </c>
    </row>
    <row r="59" spans="1:6" ht="12.75">
      <c r="A59">
        <v>111.5837407913655</v>
      </c>
      <c r="B59">
        <v>110.247429619791</v>
      </c>
      <c r="C59">
        <v>112.92005196294</v>
      </c>
      <c r="D59">
        <v>30</v>
      </c>
      <c r="E59">
        <v>0.00075</v>
      </c>
      <c r="F59">
        <v>0.9963999999999998</v>
      </c>
    </row>
    <row r="60" spans="1:6" ht="12.75">
      <c r="A60">
        <v>114.256363134515</v>
      </c>
      <c r="B60">
        <v>112.92005196294</v>
      </c>
      <c r="C60">
        <v>115.59267430609</v>
      </c>
      <c r="D60">
        <v>40</v>
      </c>
      <c r="E60">
        <v>0.001</v>
      </c>
      <c r="F60">
        <v>0.9973999999999998</v>
      </c>
    </row>
    <row r="61" spans="1:6" ht="12.75">
      <c r="A61">
        <v>116.9289854776645</v>
      </c>
      <c r="B61">
        <v>115.59267430609</v>
      </c>
      <c r="C61">
        <v>118.265296649239</v>
      </c>
      <c r="D61">
        <v>21</v>
      </c>
      <c r="E61">
        <v>0.000525</v>
      </c>
      <c r="F61">
        <v>0.9979249999999998</v>
      </c>
    </row>
    <row r="62" spans="1:6" ht="12.75">
      <c r="A62">
        <v>119.601607820814</v>
      </c>
      <c r="B62">
        <v>118.265296649239</v>
      </c>
      <c r="C62">
        <v>120.937918992389</v>
      </c>
      <c r="D62">
        <v>22</v>
      </c>
      <c r="E62">
        <v>0.00055</v>
      </c>
      <c r="F62">
        <v>0.9984749999999999</v>
      </c>
    </row>
    <row r="63" spans="1:6" ht="12.75">
      <c r="A63">
        <v>122.2742301639635</v>
      </c>
      <c r="B63">
        <v>120.937918992389</v>
      </c>
      <c r="C63">
        <v>123.610541335538</v>
      </c>
      <c r="D63">
        <v>13</v>
      </c>
      <c r="E63">
        <v>0.000325</v>
      </c>
      <c r="F63">
        <v>0.9987999999999999</v>
      </c>
    </row>
    <row r="64" spans="1:6" ht="12.75">
      <c r="A64">
        <v>124.94685250711251</v>
      </c>
      <c r="B64">
        <v>123.610541335538</v>
      </c>
      <c r="C64">
        <v>126.283163678687</v>
      </c>
      <c r="D64">
        <v>15</v>
      </c>
      <c r="E64">
        <v>0.000375</v>
      </c>
      <c r="F64">
        <v>0.9991749999999999</v>
      </c>
    </row>
    <row r="65" spans="1:6" ht="12.75">
      <c r="A65">
        <v>127.61947485026201</v>
      </c>
      <c r="B65">
        <v>126.283163678687</v>
      </c>
      <c r="C65">
        <v>128.955786021837</v>
      </c>
      <c r="D65">
        <v>9</v>
      </c>
      <c r="E65">
        <v>0.000225</v>
      </c>
      <c r="F65">
        <v>0.9994</v>
      </c>
    </row>
    <row r="66" spans="1:6" ht="12.75">
      <c r="A66">
        <v>130.2920971934115</v>
      </c>
      <c r="B66">
        <v>128.955786021837</v>
      </c>
      <c r="C66">
        <v>131.628408364986</v>
      </c>
      <c r="D66">
        <v>8</v>
      </c>
      <c r="E66">
        <v>0.0002</v>
      </c>
      <c r="F66">
        <v>0.9995999999999999</v>
      </c>
    </row>
    <row r="67" spans="1:6" ht="12.75">
      <c r="A67">
        <v>132.9647195365605</v>
      </c>
      <c r="B67">
        <v>131.628408364986</v>
      </c>
      <c r="C67">
        <v>134.301030708135</v>
      </c>
      <c r="D67">
        <v>3</v>
      </c>
      <c r="E67">
        <v>7.5E-05</v>
      </c>
      <c r="F67">
        <v>0.999675</v>
      </c>
    </row>
    <row r="68" spans="1:6" ht="12.75">
      <c r="A68">
        <v>135.63734187971</v>
      </c>
      <c r="B68">
        <v>134.301030708135</v>
      </c>
      <c r="C68">
        <v>136.973653051285</v>
      </c>
      <c r="D68">
        <v>6</v>
      </c>
      <c r="E68">
        <v>0.00015</v>
      </c>
      <c r="F68">
        <v>0.999825</v>
      </c>
    </row>
    <row r="69" spans="1:6" ht="12.75">
      <c r="A69">
        <v>138.3099642228595</v>
      </c>
      <c r="B69">
        <v>136.973653051285</v>
      </c>
      <c r="C69">
        <v>139.646275394434</v>
      </c>
      <c r="D69">
        <v>3</v>
      </c>
      <c r="E69">
        <v>7.5E-05</v>
      </c>
      <c r="F69">
        <v>0.9999</v>
      </c>
    </row>
    <row r="70" spans="1:6" ht="12.75">
      <c r="A70">
        <v>140.9825865660085</v>
      </c>
      <c r="B70">
        <v>139.646275394434</v>
      </c>
      <c r="C70">
        <v>142.318897737583</v>
      </c>
      <c r="D70">
        <v>2</v>
      </c>
      <c r="E70">
        <v>5E-05</v>
      </c>
      <c r="F70">
        <v>0.99995</v>
      </c>
    </row>
    <row r="71" spans="1:6" ht="12.75">
      <c r="A71">
        <v>143.655208909158</v>
      </c>
      <c r="B71">
        <v>142.318897737583</v>
      </c>
      <c r="C71">
        <v>144.991520080733</v>
      </c>
      <c r="D71">
        <v>2</v>
      </c>
      <c r="E71">
        <v>5E-05</v>
      </c>
      <c r="F71">
        <v>1</v>
      </c>
    </row>
    <row r="74" spans="1:6" ht="12.75">
      <c r="A74" s="101" t="s">
        <v>589</v>
      </c>
      <c r="B74" s="101" t="s">
        <v>584</v>
      </c>
      <c r="C74" s="101" t="s">
        <v>585</v>
      </c>
      <c r="D74" s="101" t="s">
        <v>586</v>
      </c>
      <c r="E74" s="1" t="s">
        <v>587</v>
      </c>
      <c r="F74" s="1" t="s">
        <v>590</v>
      </c>
    </row>
    <row r="75" spans="1:6" ht="12.75">
      <c r="A75" s="7">
        <v>21.2906586904971</v>
      </c>
      <c r="B75">
        <v>20.8046170556933</v>
      </c>
      <c r="C75">
        <v>21.7767003253009</v>
      </c>
      <c r="D75">
        <v>1</v>
      </c>
      <c r="E75">
        <v>2.5E-05</v>
      </c>
      <c r="F75">
        <v>2.5E-05</v>
      </c>
    </row>
    <row r="76" spans="1:6" ht="12.75">
      <c r="A76" s="7">
        <v>22.262741960104698</v>
      </c>
      <c r="B76">
        <v>21.7767003253009</v>
      </c>
      <c r="C76">
        <v>22.7487835949085</v>
      </c>
      <c r="D76">
        <v>0</v>
      </c>
      <c r="E76">
        <v>0</v>
      </c>
      <c r="F76">
        <v>2.5E-05</v>
      </c>
    </row>
    <row r="77" spans="1:6" ht="12.75">
      <c r="A77" s="7">
        <v>23.23482522971225</v>
      </c>
      <c r="B77">
        <v>22.7487835949085</v>
      </c>
      <c r="C77">
        <v>23.720866864516</v>
      </c>
      <c r="D77">
        <v>1</v>
      </c>
      <c r="E77">
        <v>2.5E-05</v>
      </c>
      <c r="F77">
        <v>5E-05</v>
      </c>
    </row>
    <row r="78" spans="1:6" ht="12.75">
      <c r="A78" s="7">
        <v>24.206908499319802</v>
      </c>
      <c r="B78">
        <v>23.720866864516</v>
      </c>
      <c r="C78">
        <v>24.6929501341236</v>
      </c>
      <c r="D78">
        <v>3</v>
      </c>
      <c r="E78">
        <v>7.5E-05</v>
      </c>
      <c r="F78">
        <v>0.000125</v>
      </c>
    </row>
    <row r="79" spans="1:6" ht="12.75">
      <c r="A79" s="7">
        <v>25.1789917689274</v>
      </c>
      <c r="B79">
        <v>24.6929501341236</v>
      </c>
      <c r="C79">
        <v>25.6650334037312</v>
      </c>
      <c r="D79">
        <v>6</v>
      </c>
      <c r="E79">
        <v>0.00015</v>
      </c>
      <c r="F79">
        <v>0.00027499999999999996</v>
      </c>
    </row>
    <row r="80" spans="1:6" ht="12.75">
      <c r="A80" s="7">
        <v>26.151075038534948</v>
      </c>
      <c r="B80">
        <v>25.6650334037312</v>
      </c>
      <c r="C80">
        <v>26.6371166733387</v>
      </c>
      <c r="D80">
        <v>3</v>
      </c>
      <c r="E80">
        <v>7.5E-05</v>
      </c>
      <c r="F80">
        <v>0.00034999999999999994</v>
      </c>
    </row>
    <row r="81" spans="1:6" ht="12.75">
      <c r="A81" s="7">
        <v>27.1231583081425</v>
      </c>
      <c r="B81">
        <v>26.6371166733387</v>
      </c>
      <c r="C81">
        <v>27.6091999429463</v>
      </c>
      <c r="D81">
        <v>10</v>
      </c>
      <c r="E81">
        <v>0.00025</v>
      </c>
      <c r="F81">
        <v>0.0006</v>
      </c>
    </row>
    <row r="82" spans="1:6" ht="12.75">
      <c r="A82" s="7">
        <v>28.0952415777501</v>
      </c>
      <c r="B82">
        <v>27.6091999429463</v>
      </c>
      <c r="C82">
        <v>28.5812832125539</v>
      </c>
      <c r="D82">
        <v>18</v>
      </c>
      <c r="E82">
        <v>0.00045</v>
      </c>
      <c r="F82">
        <v>0.00105</v>
      </c>
    </row>
    <row r="83" spans="1:6" ht="12.75">
      <c r="A83" s="7">
        <v>29.06732484735765</v>
      </c>
      <c r="B83">
        <v>28.5812832125539</v>
      </c>
      <c r="C83">
        <v>29.5533664821614</v>
      </c>
      <c r="D83">
        <v>15</v>
      </c>
      <c r="E83">
        <v>0.000375</v>
      </c>
      <c r="F83">
        <v>0.001425</v>
      </c>
    </row>
    <row r="84" spans="1:6" ht="12.75">
      <c r="A84" s="7">
        <v>30.0394081169652</v>
      </c>
      <c r="B84">
        <v>29.5533664821614</v>
      </c>
      <c r="C84">
        <v>30.525449751769</v>
      </c>
      <c r="D84">
        <v>23</v>
      </c>
      <c r="E84">
        <v>0.000575</v>
      </c>
      <c r="F84">
        <v>0.002</v>
      </c>
    </row>
    <row r="85" spans="1:6" ht="12.75">
      <c r="A85" s="7">
        <v>31.01149138657275</v>
      </c>
      <c r="B85">
        <v>30.525449751769</v>
      </c>
      <c r="C85">
        <v>31.4975330213765</v>
      </c>
      <c r="D85">
        <v>36</v>
      </c>
      <c r="E85">
        <v>0.0009</v>
      </c>
      <c r="F85">
        <v>0.0029</v>
      </c>
    </row>
    <row r="86" spans="1:6" ht="12.75">
      <c r="A86" s="7">
        <v>31.983574656180302</v>
      </c>
      <c r="B86">
        <v>31.4975330213765</v>
      </c>
      <c r="C86">
        <v>32.4696162909841</v>
      </c>
      <c r="D86">
        <v>58</v>
      </c>
      <c r="E86">
        <v>0.00145</v>
      </c>
      <c r="F86">
        <v>0.00435</v>
      </c>
    </row>
    <row r="87" spans="1:6" ht="12.75">
      <c r="A87" s="7">
        <v>32.955657925787904</v>
      </c>
      <c r="B87">
        <v>32.4696162909841</v>
      </c>
      <c r="C87">
        <v>33.4416995605917</v>
      </c>
      <c r="D87">
        <v>48</v>
      </c>
      <c r="E87">
        <v>0.0012</v>
      </c>
      <c r="F87">
        <v>0.005549999999999999</v>
      </c>
    </row>
    <row r="88" spans="1:6" ht="12.75">
      <c r="A88" s="7">
        <v>33.927741195395456</v>
      </c>
      <c r="B88">
        <v>33.4416995605917</v>
      </c>
      <c r="C88">
        <v>34.4137828301992</v>
      </c>
      <c r="D88">
        <v>97</v>
      </c>
      <c r="E88">
        <v>0.002425</v>
      </c>
      <c r="F88">
        <v>0.007975</v>
      </c>
    </row>
    <row r="89" spans="1:6" ht="12.75">
      <c r="A89" s="7">
        <v>34.899824465003</v>
      </c>
      <c r="B89">
        <v>34.4137828301992</v>
      </c>
      <c r="C89">
        <v>35.3858660998068</v>
      </c>
      <c r="D89">
        <v>133</v>
      </c>
      <c r="E89">
        <v>0.003325</v>
      </c>
      <c r="F89">
        <v>0.0113</v>
      </c>
    </row>
    <row r="90" spans="1:6" ht="12.75">
      <c r="A90" s="7">
        <v>35.8719077346106</v>
      </c>
      <c r="B90">
        <v>35.3858660998068</v>
      </c>
      <c r="C90">
        <v>36.3579493694144</v>
      </c>
      <c r="D90">
        <v>171</v>
      </c>
      <c r="E90">
        <v>0.004275</v>
      </c>
      <c r="F90">
        <v>0.015574999999999999</v>
      </c>
    </row>
    <row r="91" spans="1:6" ht="12.75">
      <c r="A91" s="7">
        <v>36.843991004218154</v>
      </c>
      <c r="B91">
        <v>36.3579493694144</v>
      </c>
      <c r="C91">
        <v>37.3300326390219</v>
      </c>
      <c r="D91">
        <v>200</v>
      </c>
      <c r="E91">
        <v>0.005</v>
      </c>
      <c r="F91">
        <v>0.020575</v>
      </c>
    </row>
    <row r="92" spans="1:6" ht="12.75">
      <c r="A92" s="7">
        <v>37.816074273825706</v>
      </c>
      <c r="B92">
        <v>37.3300326390219</v>
      </c>
      <c r="C92">
        <v>38.3021159086295</v>
      </c>
      <c r="D92">
        <v>269</v>
      </c>
      <c r="E92">
        <v>0.006725</v>
      </c>
      <c r="F92">
        <v>0.027299999999999998</v>
      </c>
    </row>
    <row r="93" spans="1:6" ht="12.75">
      <c r="A93" s="7">
        <v>38.7881575434333</v>
      </c>
      <c r="B93">
        <v>38.3021159086295</v>
      </c>
      <c r="C93">
        <v>39.2741991782371</v>
      </c>
      <c r="D93">
        <v>356</v>
      </c>
      <c r="E93">
        <v>0.0089</v>
      </c>
      <c r="F93">
        <v>0.036199999999999996</v>
      </c>
    </row>
    <row r="94" spans="1:6" ht="12.75">
      <c r="A94" s="7">
        <v>39.76024081304085</v>
      </c>
      <c r="B94">
        <v>39.2741991782371</v>
      </c>
      <c r="C94">
        <v>40.2462824478446</v>
      </c>
      <c r="D94">
        <v>408</v>
      </c>
      <c r="E94">
        <v>0.0102</v>
      </c>
      <c r="F94">
        <v>0.0464</v>
      </c>
    </row>
    <row r="95" spans="1:6" ht="12.75">
      <c r="A95" s="7">
        <v>40.732324082648404</v>
      </c>
      <c r="B95">
        <v>40.2462824478446</v>
      </c>
      <c r="C95">
        <v>41.2183657174522</v>
      </c>
      <c r="D95">
        <v>545</v>
      </c>
      <c r="E95">
        <v>0.013625</v>
      </c>
      <c r="F95">
        <v>0.060024999999999995</v>
      </c>
    </row>
    <row r="96" spans="1:6" ht="12.75">
      <c r="A96" s="7">
        <v>41.704407352256</v>
      </c>
      <c r="B96">
        <v>41.2183657174522</v>
      </c>
      <c r="C96">
        <v>42.1904489870598</v>
      </c>
      <c r="D96">
        <v>687</v>
      </c>
      <c r="E96">
        <v>0.017175</v>
      </c>
      <c r="F96">
        <v>0.07719999999999999</v>
      </c>
    </row>
    <row r="97" spans="1:6" ht="12.75">
      <c r="A97" s="7">
        <v>42.67649062186355</v>
      </c>
      <c r="B97">
        <v>42.1904489870598</v>
      </c>
      <c r="C97">
        <v>43.1625322566673</v>
      </c>
      <c r="D97">
        <v>909</v>
      </c>
      <c r="E97">
        <v>0.022725</v>
      </c>
      <c r="F97">
        <v>0.09992499999999999</v>
      </c>
    </row>
    <row r="98" spans="1:6" ht="12.75">
      <c r="A98" s="7">
        <v>43.6485738914711</v>
      </c>
      <c r="B98">
        <v>43.1625322566673</v>
      </c>
      <c r="C98">
        <v>44.1346155262749</v>
      </c>
      <c r="D98">
        <v>1038</v>
      </c>
      <c r="E98">
        <v>0.02595</v>
      </c>
      <c r="F98">
        <v>0.125875</v>
      </c>
    </row>
    <row r="99" spans="1:6" ht="12.75">
      <c r="A99" s="7">
        <v>44.6206571610787</v>
      </c>
      <c r="B99">
        <v>44.1346155262749</v>
      </c>
      <c r="C99">
        <v>45.1066987958825</v>
      </c>
      <c r="D99">
        <v>1302</v>
      </c>
      <c r="E99">
        <v>0.03255</v>
      </c>
      <c r="F99">
        <v>0.15842499999999998</v>
      </c>
    </row>
    <row r="100" spans="1:6" ht="12.75">
      <c r="A100" s="7">
        <v>45.59274043068625</v>
      </c>
      <c r="B100">
        <v>45.1066987958825</v>
      </c>
      <c r="C100">
        <v>46.07878206549</v>
      </c>
      <c r="D100">
        <v>1512</v>
      </c>
      <c r="E100">
        <v>0.0378</v>
      </c>
      <c r="F100">
        <v>0.19622499999999998</v>
      </c>
    </row>
    <row r="101" spans="1:6" ht="12.75">
      <c r="A101" s="7">
        <v>46.5648237002938</v>
      </c>
      <c r="B101">
        <v>46.07878206549</v>
      </c>
      <c r="C101">
        <v>47.0508653350976</v>
      </c>
      <c r="D101">
        <v>1776</v>
      </c>
      <c r="E101">
        <v>0.0444</v>
      </c>
      <c r="F101">
        <v>0.240625</v>
      </c>
    </row>
    <row r="102" spans="1:6" ht="12.75">
      <c r="A102" s="7">
        <v>47.536906969901395</v>
      </c>
      <c r="B102">
        <v>47.0508653350976</v>
      </c>
      <c r="C102">
        <v>48.0229486047052</v>
      </c>
      <c r="D102">
        <v>1986</v>
      </c>
      <c r="E102">
        <v>0.04965</v>
      </c>
      <c r="F102">
        <v>0.29027499999999995</v>
      </c>
    </row>
    <row r="103" spans="1:6" ht="12.75">
      <c r="A103" s="7">
        <v>48.50899023950895</v>
      </c>
      <c r="B103">
        <v>48.0229486047052</v>
      </c>
      <c r="C103">
        <v>48.9950318743127</v>
      </c>
      <c r="D103">
        <v>2330</v>
      </c>
      <c r="E103">
        <v>0.05825</v>
      </c>
      <c r="F103">
        <v>0.348525</v>
      </c>
    </row>
    <row r="104" spans="1:6" ht="12.75">
      <c r="A104" s="7">
        <v>49.4810735091165</v>
      </c>
      <c r="B104">
        <v>48.9950318743127</v>
      </c>
      <c r="C104">
        <v>49.9671151439203</v>
      </c>
      <c r="D104">
        <v>2386</v>
      </c>
      <c r="E104">
        <v>0.05965</v>
      </c>
      <c r="F104">
        <v>0.40817499999999995</v>
      </c>
    </row>
    <row r="105" spans="1:6" ht="12.75">
      <c r="A105" s="7">
        <v>50.4531567787241</v>
      </c>
      <c r="B105">
        <v>49.9671151439203</v>
      </c>
      <c r="C105">
        <v>50.9391984135279</v>
      </c>
      <c r="D105">
        <v>2474</v>
      </c>
      <c r="E105">
        <v>0.06185</v>
      </c>
      <c r="F105">
        <v>0.47002499999999997</v>
      </c>
    </row>
    <row r="106" spans="1:6" ht="12.75">
      <c r="A106" s="7">
        <v>51.425240048331645</v>
      </c>
      <c r="B106">
        <v>50.9391984135279</v>
      </c>
      <c r="C106">
        <v>51.9112816831354</v>
      </c>
      <c r="D106">
        <v>2430</v>
      </c>
      <c r="E106">
        <v>0.06075</v>
      </c>
      <c r="F106">
        <v>0.530775</v>
      </c>
    </row>
    <row r="107" spans="1:6" ht="12.75">
      <c r="A107" s="7">
        <v>52.3973233179392</v>
      </c>
      <c r="B107">
        <v>51.9112816831354</v>
      </c>
      <c r="C107">
        <v>52.883364952743</v>
      </c>
      <c r="D107">
        <v>2305</v>
      </c>
      <c r="E107">
        <v>0.057625</v>
      </c>
      <c r="F107">
        <v>0.5884</v>
      </c>
    </row>
    <row r="108" spans="1:6" ht="12.75">
      <c r="A108" s="7">
        <v>53.369406587546806</v>
      </c>
      <c r="B108">
        <v>52.883364952743</v>
      </c>
      <c r="C108">
        <v>53.8554482223506</v>
      </c>
      <c r="D108">
        <v>2234</v>
      </c>
      <c r="E108">
        <v>0.05585</v>
      </c>
      <c r="F108">
        <v>0.64425</v>
      </c>
    </row>
    <row r="109" spans="1:6" ht="12.75">
      <c r="A109" s="7">
        <v>54.34148985715435</v>
      </c>
      <c r="B109">
        <v>53.8554482223506</v>
      </c>
      <c r="C109">
        <v>54.8275314919581</v>
      </c>
      <c r="D109">
        <v>2042</v>
      </c>
      <c r="E109">
        <v>0.05105</v>
      </c>
      <c r="F109">
        <v>0.6953</v>
      </c>
    </row>
    <row r="110" spans="1:6" ht="12.75">
      <c r="A110" s="7">
        <v>55.313573126761895</v>
      </c>
      <c r="B110">
        <v>54.8275314919581</v>
      </c>
      <c r="C110">
        <v>55.7996147615657</v>
      </c>
      <c r="D110">
        <v>1788</v>
      </c>
      <c r="E110">
        <v>0.0447</v>
      </c>
      <c r="F110">
        <v>0.74</v>
      </c>
    </row>
    <row r="111" spans="1:6" ht="12.75">
      <c r="A111" s="7">
        <v>56.285656396369504</v>
      </c>
      <c r="B111">
        <v>55.7996147615657</v>
      </c>
      <c r="C111">
        <v>56.7716980311733</v>
      </c>
      <c r="D111">
        <v>1765</v>
      </c>
      <c r="E111">
        <v>0.044125</v>
      </c>
      <c r="F111">
        <v>0.784125</v>
      </c>
    </row>
    <row r="112" spans="1:6" ht="12.75">
      <c r="A112" s="7">
        <v>57.257739665977056</v>
      </c>
      <c r="B112">
        <v>56.7716980311733</v>
      </c>
      <c r="C112">
        <v>57.7437813007808</v>
      </c>
      <c r="D112">
        <v>1641</v>
      </c>
      <c r="E112">
        <v>0.041025</v>
      </c>
      <c r="F112">
        <v>0.8251499999999999</v>
      </c>
    </row>
    <row r="113" spans="1:6" ht="12.75">
      <c r="A113" s="7">
        <v>58.2298229355846</v>
      </c>
      <c r="B113">
        <v>57.7437813007808</v>
      </c>
      <c r="C113">
        <v>58.7158645703884</v>
      </c>
      <c r="D113">
        <v>1533</v>
      </c>
      <c r="E113">
        <v>0.038325</v>
      </c>
      <c r="F113">
        <v>0.863475</v>
      </c>
    </row>
    <row r="114" spans="1:6" ht="12.75">
      <c r="A114" s="7">
        <v>59.2019062051922</v>
      </c>
      <c r="B114">
        <v>58.7158645703884</v>
      </c>
      <c r="C114">
        <v>59.687947839996</v>
      </c>
      <c r="D114">
        <v>1251</v>
      </c>
      <c r="E114">
        <v>0.031275</v>
      </c>
      <c r="F114">
        <v>0.8947499999999999</v>
      </c>
    </row>
    <row r="115" spans="1:6" ht="12.75">
      <c r="A115" s="7">
        <v>60.173989474799754</v>
      </c>
      <c r="B115">
        <v>59.687947839996</v>
      </c>
      <c r="C115">
        <v>60.6600311096035</v>
      </c>
      <c r="D115">
        <v>1114</v>
      </c>
      <c r="E115">
        <v>0.02785</v>
      </c>
      <c r="F115">
        <v>0.9226</v>
      </c>
    </row>
    <row r="116" spans="1:6" ht="12.75">
      <c r="A116" s="7">
        <v>61.146072744407306</v>
      </c>
      <c r="B116">
        <v>60.6600311096035</v>
      </c>
      <c r="C116">
        <v>61.6321143792111</v>
      </c>
      <c r="D116">
        <v>935</v>
      </c>
      <c r="E116">
        <v>0.023375</v>
      </c>
      <c r="F116">
        <v>0.945975</v>
      </c>
    </row>
    <row r="117" spans="1:6" ht="12.75">
      <c r="A117" s="7">
        <v>62.1181560140149</v>
      </c>
      <c r="B117">
        <v>61.6321143792111</v>
      </c>
      <c r="C117">
        <v>62.6041976488187</v>
      </c>
      <c r="D117">
        <v>651</v>
      </c>
      <c r="E117">
        <v>0.016275</v>
      </c>
      <c r="F117">
        <v>0.96225</v>
      </c>
    </row>
    <row r="118" spans="1:6" ht="12.75">
      <c r="A118" s="7">
        <v>63.090239283622395</v>
      </c>
      <c r="B118">
        <v>62.6041976488186</v>
      </c>
      <c r="C118">
        <v>63.5762809184262</v>
      </c>
      <c r="D118">
        <v>500</v>
      </c>
      <c r="E118">
        <v>0.0125</v>
      </c>
      <c r="F118">
        <v>0.97475</v>
      </c>
    </row>
    <row r="119" spans="1:6" ht="12.75">
      <c r="A119" s="7">
        <v>64.06232255323</v>
      </c>
      <c r="B119">
        <v>63.5762809184262</v>
      </c>
      <c r="C119">
        <v>64.5483641880338</v>
      </c>
      <c r="D119">
        <v>387</v>
      </c>
      <c r="E119">
        <v>0.009675</v>
      </c>
      <c r="F119">
        <v>0.984425</v>
      </c>
    </row>
    <row r="120" spans="1:6" ht="12.75">
      <c r="A120" s="7">
        <v>65.03440582283756</v>
      </c>
      <c r="B120">
        <v>64.5483641880338</v>
      </c>
      <c r="C120">
        <v>65.5204474576413</v>
      </c>
      <c r="D120">
        <v>267</v>
      </c>
      <c r="E120">
        <v>0.006675</v>
      </c>
      <c r="F120">
        <v>0.9911</v>
      </c>
    </row>
    <row r="121" spans="1:6" ht="12.75">
      <c r="A121" s="7">
        <v>66.0064890924451</v>
      </c>
      <c r="B121">
        <v>65.5204474576413</v>
      </c>
      <c r="C121">
        <v>66.4925307272489</v>
      </c>
      <c r="D121">
        <v>179</v>
      </c>
      <c r="E121">
        <v>0.004475</v>
      </c>
      <c r="F121">
        <v>0.995575</v>
      </c>
    </row>
    <row r="122" spans="1:6" ht="12.75">
      <c r="A122" s="7">
        <v>66.9785723620527</v>
      </c>
      <c r="B122">
        <v>66.4925307272489</v>
      </c>
      <c r="C122">
        <v>67.4646139968565</v>
      </c>
      <c r="D122">
        <v>109</v>
      </c>
      <c r="E122">
        <v>0.002725</v>
      </c>
      <c r="F122">
        <v>0.9983</v>
      </c>
    </row>
    <row r="123" spans="1:6" ht="12.75">
      <c r="A123" s="7">
        <v>67.95065563166025</v>
      </c>
      <c r="B123">
        <v>67.4646139968565</v>
      </c>
      <c r="C123">
        <v>68.436697266464</v>
      </c>
      <c r="D123">
        <v>57</v>
      </c>
      <c r="E123">
        <v>0.001425</v>
      </c>
      <c r="F123">
        <v>0.999725</v>
      </c>
    </row>
    <row r="124" spans="1:6" ht="12.75">
      <c r="A124" s="7">
        <v>68.92273890126779</v>
      </c>
      <c r="B124">
        <v>68.436697266464</v>
      </c>
      <c r="C124">
        <v>69.4087805360716</v>
      </c>
      <c r="D124">
        <v>11</v>
      </c>
      <c r="E124">
        <v>0.000275</v>
      </c>
      <c r="F124">
        <v>1</v>
      </c>
    </row>
    <row r="126" spans="1:6" ht="12.75">
      <c r="A126" s="101" t="s">
        <v>591</v>
      </c>
      <c r="B126" s="101" t="s">
        <v>584</v>
      </c>
      <c r="C126" s="101" t="s">
        <v>585</v>
      </c>
      <c r="D126" s="101" t="s">
        <v>586</v>
      </c>
      <c r="E126" s="1" t="s">
        <v>587</v>
      </c>
      <c r="F126" s="1" t="s">
        <v>592</v>
      </c>
    </row>
    <row r="127" spans="1:6" ht="12.75">
      <c r="A127">
        <v>33.9873727853375</v>
      </c>
      <c r="B127">
        <v>32.1820485842468</v>
      </c>
      <c r="C127">
        <v>35.7926969864281</v>
      </c>
      <c r="D127">
        <v>1</v>
      </c>
      <c r="E127">
        <v>2.5E-05</v>
      </c>
      <c r="F127">
        <v>2.5E-05</v>
      </c>
    </row>
    <row r="128" spans="1:6" ht="12.75">
      <c r="A128">
        <v>37.5980211875187</v>
      </c>
      <c r="B128">
        <v>35.7926969864281</v>
      </c>
      <c r="C128">
        <v>39.4033453886093</v>
      </c>
      <c r="D128">
        <v>3</v>
      </c>
      <c r="E128">
        <v>7.5E-05</v>
      </c>
      <c r="F128">
        <v>0.0001</v>
      </c>
    </row>
    <row r="129" spans="1:6" ht="12.75">
      <c r="A129">
        <v>41.2086695896999</v>
      </c>
      <c r="B129">
        <v>39.4033453886093</v>
      </c>
      <c r="C129">
        <v>43.0139937907905</v>
      </c>
      <c r="D129">
        <v>9</v>
      </c>
      <c r="E129">
        <v>0.000225</v>
      </c>
      <c r="F129">
        <v>0.000325</v>
      </c>
    </row>
    <row r="130" spans="1:6" ht="12.75">
      <c r="A130">
        <v>44.8193179918811</v>
      </c>
      <c r="B130">
        <v>43.0139937907905</v>
      </c>
      <c r="C130">
        <v>46.6246421929717</v>
      </c>
      <c r="D130">
        <v>31</v>
      </c>
      <c r="E130">
        <v>0.000775</v>
      </c>
      <c r="F130">
        <v>0.0011</v>
      </c>
    </row>
    <row r="131" spans="1:6" ht="12.75">
      <c r="A131">
        <v>48.4299663940623</v>
      </c>
      <c r="B131">
        <v>46.6246421929717</v>
      </c>
      <c r="C131">
        <v>50.2352905951529</v>
      </c>
      <c r="D131">
        <v>54</v>
      </c>
      <c r="E131">
        <v>0.00135</v>
      </c>
      <c r="F131">
        <v>0.00245</v>
      </c>
    </row>
    <row r="132" spans="1:6" ht="12.75">
      <c r="A132">
        <v>52.0406147962435</v>
      </c>
      <c r="B132">
        <v>50.2352905951529</v>
      </c>
      <c r="C132">
        <v>53.8459389973341</v>
      </c>
      <c r="D132">
        <v>115</v>
      </c>
      <c r="E132">
        <v>0.002875</v>
      </c>
      <c r="F132">
        <v>0.005325</v>
      </c>
    </row>
    <row r="133" spans="1:6" ht="12.75">
      <c r="A133">
        <v>55.6512631984247</v>
      </c>
      <c r="B133">
        <v>53.8459389973341</v>
      </c>
      <c r="C133">
        <v>57.4565873995153</v>
      </c>
      <c r="D133">
        <v>185</v>
      </c>
      <c r="E133">
        <v>0.004625</v>
      </c>
      <c r="F133">
        <v>0.00995</v>
      </c>
    </row>
    <row r="134" spans="1:6" ht="12.75">
      <c r="A134">
        <v>59.261911600606</v>
      </c>
      <c r="B134">
        <v>57.4565873995153</v>
      </c>
      <c r="C134">
        <v>61.0672358016966</v>
      </c>
      <c r="D134">
        <v>355</v>
      </c>
      <c r="E134">
        <v>0.008875</v>
      </c>
      <c r="F134">
        <v>0.018825</v>
      </c>
    </row>
    <row r="135" spans="1:6" ht="12.75">
      <c r="A135">
        <v>62.8725600027872</v>
      </c>
      <c r="B135">
        <v>61.0672358016966</v>
      </c>
      <c r="C135">
        <v>64.6778842038778</v>
      </c>
      <c r="D135">
        <v>636</v>
      </c>
      <c r="E135">
        <v>0.0159</v>
      </c>
      <c r="F135">
        <v>0.034725</v>
      </c>
    </row>
    <row r="136" spans="1:6" ht="12.75">
      <c r="A136">
        <v>66.4832084049684</v>
      </c>
      <c r="B136">
        <v>64.6778842038778</v>
      </c>
      <c r="C136">
        <v>68.288532606059</v>
      </c>
      <c r="D136">
        <v>865</v>
      </c>
      <c r="E136">
        <v>0.021625</v>
      </c>
      <c r="F136">
        <v>0.05635</v>
      </c>
    </row>
    <row r="137" spans="1:6" ht="12.75">
      <c r="A137">
        <v>70.0938568071496</v>
      </c>
      <c r="B137">
        <v>68.288532606059</v>
      </c>
      <c r="C137">
        <v>71.8991810082402</v>
      </c>
      <c r="D137">
        <v>1110</v>
      </c>
      <c r="E137">
        <v>0.02775</v>
      </c>
      <c r="F137">
        <v>0.0841</v>
      </c>
    </row>
    <row r="138" spans="1:6" ht="12.75">
      <c r="A138">
        <v>73.7045052093308</v>
      </c>
      <c r="B138">
        <v>71.8991810082402</v>
      </c>
      <c r="C138">
        <v>75.5098294104214</v>
      </c>
      <c r="D138">
        <v>1369</v>
      </c>
      <c r="E138">
        <v>0.034225</v>
      </c>
      <c r="F138">
        <v>0.118325</v>
      </c>
    </row>
    <row r="139" spans="1:6" ht="12.75">
      <c r="A139">
        <v>77.315153611512</v>
      </c>
      <c r="B139">
        <v>75.5098294104214</v>
      </c>
      <c r="C139">
        <v>79.1204778126026</v>
      </c>
      <c r="D139">
        <v>1493</v>
      </c>
      <c r="E139">
        <v>0.037325</v>
      </c>
      <c r="F139">
        <v>0.15565</v>
      </c>
    </row>
    <row r="140" spans="1:6" ht="12.75">
      <c r="A140">
        <v>80.9258020136933</v>
      </c>
      <c r="B140">
        <v>79.1204778126026</v>
      </c>
      <c r="C140">
        <v>82.7311262147839</v>
      </c>
      <c r="D140">
        <v>1706</v>
      </c>
      <c r="E140">
        <v>0.04265</v>
      </c>
      <c r="F140">
        <v>0.1983</v>
      </c>
    </row>
    <row r="141" spans="1:6" ht="12.75">
      <c r="A141">
        <v>84.5364504158745</v>
      </c>
      <c r="B141">
        <v>82.7311262147838</v>
      </c>
      <c r="C141">
        <v>86.3417746169651</v>
      </c>
      <c r="D141">
        <v>1737</v>
      </c>
      <c r="E141">
        <v>0.043425</v>
      </c>
      <c r="F141">
        <v>0.241725</v>
      </c>
    </row>
    <row r="142" spans="1:6" ht="12.75">
      <c r="A142">
        <v>88.1470988180557</v>
      </c>
      <c r="B142">
        <v>86.3417746169651</v>
      </c>
      <c r="C142">
        <v>89.9524230191463</v>
      </c>
      <c r="D142">
        <v>1897</v>
      </c>
      <c r="E142">
        <v>0.047425</v>
      </c>
      <c r="F142">
        <v>0.28915</v>
      </c>
    </row>
    <row r="143" spans="1:6" ht="12.75">
      <c r="A143">
        <v>91.7577472202369</v>
      </c>
      <c r="B143">
        <v>89.9524230191463</v>
      </c>
      <c r="C143">
        <v>93.5630714213275</v>
      </c>
      <c r="D143">
        <v>1956</v>
      </c>
      <c r="E143">
        <v>0.0489</v>
      </c>
      <c r="F143">
        <v>0.33805</v>
      </c>
    </row>
    <row r="144" spans="1:6" ht="12.75">
      <c r="A144">
        <v>95.3683956224181</v>
      </c>
      <c r="B144">
        <v>93.5630714213275</v>
      </c>
      <c r="C144">
        <v>97.1737198235087</v>
      </c>
      <c r="D144">
        <v>2143</v>
      </c>
      <c r="E144">
        <v>0.053575</v>
      </c>
      <c r="F144">
        <v>0.391625</v>
      </c>
    </row>
    <row r="145" spans="1:6" ht="12.75">
      <c r="A145">
        <v>98.9790440245993</v>
      </c>
      <c r="B145">
        <v>97.1737198235087</v>
      </c>
      <c r="C145">
        <v>100.784368225689</v>
      </c>
      <c r="D145">
        <v>2286</v>
      </c>
      <c r="E145">
        <v>0.05715</v>
      </c>
      <c r="F145">
        <v>0.448775</v>
      </c>
    </row>
    <row r="146" spans="1:6" ht="12.75">
      <c r="A146">
        <v>102.58969242678</v>
      </c>
      <c r="B146">
        <v>100.784368225689</v>
      </c>
      <c r="C146">
        <v>104.395016627871</v>
      </c>
      <c r="D146">
        <v>2394</v>
      </c>
      <c r="E146">
        <v>0.05985</v>
      </c>
      <c r="F146">
        <v>0.508625</v>
      </c>
    </row>
    <row r="147" spans="1:6" ht="12.75">
      <c r="A147">
        <v>106.200340828961</v>
      </c>
      <c r="B147">
        <v>104.395016627871</v>
      </c>
      <c r="C147">
        <v>108.005665030052</v>
      </c>
      <c r="D147">
        <v>2444</v>
      </c>
      <c r="E147">
        <v>0.0611</v>
      </c>
      <c r="F147">
        <v>0.569725</v>
      </c>
    </row>
    <row r="148" spans="1:6" ht="12.75">
      <c r="A148">
        <v>109.810989231143</v>
      </c>
      <c r="B148">
        <v>108.005665030052</v>
      </c>
      <c r="C148">
        <v>111.616313432233</v>
      </c>
      <c r="D148">
        <v>2585</v>
      </c>
      <c r="E148">
        <v>0.064625</v>
      </c>
      <c r="F148">
        <v>0.63435</v>
      </c>
    </row>
    <row r="149" spans="1:6" ht="12.75">
      <c r="A149">
        <v>113.421637633324</v>
      </c>
      <c r="B149">
        <v>111.616313432233</v>
      </c>
      <c r="C149">
        <v>115.226961834414</v>
      </c>
      <c r="D149">
        <v>2343</v>
      </c>
      <c r="E149">
        <v>0.058575</v>
      </c>
      <c r="F149">
        <v>0.692925</v>
      </c>
    </row>
    <row r="150" spans="1:6" ht="12.75">
      <c r="A150">
        <v>117.032286035505</v>
      </c>
      <c r="B150">
        <v>115.226961834414</v>
      </c>
      <c r="C150">
        <v>118.837610236596</v>
      </c>
      <c r="D150">
        <v>2215</v>
      </c>
      <c r="E150">
        <v>0.055375</v>
      </c>
      <c r="F150">
        <v>0.7483</v>
      </c>
    </row>
    <row r="151" spans="1:6" ht="12.75">
      <c r="A151">
        <v>120.642934437686</v>
      </c>
      <c r="B151">
        <v>118.837610236596</v>
      </c>
      <c r="C151">
        <v>122.448258638777</v>
      </c>
      <c r="D151">
        <v>1889</v>
      </c>
      <c r="E151">
        <v>0.047225</v>
      </c>
      <c r="F151">
        <v>0.795525</v>
      </c>
    </row>
    <row r="152" spans="1:6" ht="12.75">
      <c r="A152">
        <v>124.253582839867</v>
      </c>
      <c r="B152">
        <v>122.448258638777</v>
      </c>
      <c r="C152">
        <v>126.058907040958</v>
      </c>
      <c r="D152">
        <v>1667</v>
      </c>
      <c r="E152">
        <v>0.041675</v>
      </c>
      <c r="F152">
        <v>0.8372</v>
      </c>
    </row>
    <row r="153" spans="1:6" ht="12.75">
      <c r="A153">
        <v>127.864231242049</v>
      </c>
      <c r="B153">
        <v>126.058907040958</v>
      </c>
      <c r="C153">
        <v>129.669555443139</v>
      </c>
      <c r="D153">
        <v>1415</v>
      </c>
      <c r="E153">
        <v>0.035375</v>
      </c>
      <c r="F153">
        <v>0.872575</v>
      </c>
    </row>
    <row r="154" spans="1:6" ht="12.75">
      <c r="A154">
        <v>131.47487964423</v>
      </c>
      <c r="B154">
        <v>129.669555443139</v>
      </c>
      <c r="C154">
        <v>133.28020384532</v>
      </c>
      <c r="D154">
        <v>1096</v>
      </c>
      <c r="E154">
        <v>0.0274</v>
      </c>
      <c r="F154">
        <v>0.899975</v>
      </c>
    </row>
    <row r="155" spans="1:6" ht="12.75">
      <c r="A155">
        <v>135.085528046411</v>
      </c>
      <c r="B155">
        <v>133.28020384532</v>
      </c>
      <c r="C155">
        <v>136.890852247502</v>
      </c>
      <c r="D155">
        <v>870</v>
      </c>
      <c r="E155">
        <v>0.02175</v>
      </c>
      <c r="F155">
        <v>0.921725</v>
      </c>
    </row>
    <row r="156" spans="1:6" ht="12.75">
      <c r="A156">
        <v>138.696176448592</v>
      </c>
      <c r="B156">
        <v>136.890852247502</v>
      </c>
      <c r="C156">
        <v>140.501500649683</v>
      </c>
      <c r="D156">
        <v>740</v>
      </c>
      <c r="E156">
        <v>0.0185</v>
      </c>
      <c r="F156">
        <v>0.940225</v>
      </c>
    </row>
    <row r="157" spans="1:6" ht="12.75">
      <c r="A157">
        <v>142.306824850773</v>
      </c>
      <c r="B157">
        <v>140.501500649683</v>
      </c>
      <c r="C157">
        <v>144.112149051864</v>
      </c>
      <c r="D157">
        <v>596</v>
      </c>
      <c r="E157">
        <v>0.0149</v>
      </c>
      <c r="F157">
        <v>0.955125</v>
      </c>
    </row>
    <row r="158" spans="1:6" ht="12.75">
      <c r="A158">
        <v>145.917473252955</v>
      </c>
      <c r="B158">
        <v>144.112149051864</v>
      </c>
      <c r="C158">
        <v>147.722797454045</v>
      </c>
      <c r="D158">
        <v>420</v>
      </c>
      <c r="E158">
        <v>0.0105</v>
      </c>
      <c r="F158">
        <v>0.965625</v>
      </c>
    </row>
    <row r="159" spans="1:6" ht="12.75">
      <c r="A159">
        <v>149.528121655136</v>
      </c>
      <c r="B159">
        <v>147.722797454045</v>
      </c>
      <c r="C159">
        <v>151.333445856226</v>
      </c>
      <c r="D159">
        <v>336</v>
      </c>
      <c r="E159">
        <v>0.0084</v>
      </c>
      <c r="F159">
        <v>0.974025</v>
      </c>
    </row>
    <row r="160" spans="1:6" ht="12.75">
      <c r="A160">
        <v>153.138770057317</v>
      </c>
      <c r="B160">
        <v>151.333445856226</v>
      </c>
      <c r="C160">
        <v>154.944094258408</v>
      </c>
      <c r="D160">
        <v>241</v>
      </c>
      <c r="E160">
        <v>0.006025</v>
      </c>
      <c r="F160">
        <v>0.98005</v>
      </c>
    </row>
    <row r="161" spans="1:6" ht="12.75">
      <c r="A161">
        <v>156.749418459498</v>
      </c>
      <c r="B161">
        <v>154.944094258408</v>
      </c>
      <c r="C161">
        <v>158.554742660589</v>
      </c>
      <c r="D161">
        <v>205</v>
      </c>
      <c r="E161">
        <v>0.005125</v>
      </c>
      <c r="F161">
        <v>0.985175</v>
      </c>
    </row>
    <row r="162" spans="1:6" ht="12.75">
      <c r="A162">
        <v>160.36006686168</v>
      </c>
      <c r="B162">
        <v>158.554742660589</v>
      </c>
      <c r="C162">
        <v>162.16539106277</v>
      </c>
      <c r="D162">
        <v>167</v>
      </c>
      <c r="E162">
        <v>0.004175</v>
      </c>
      <c r="F162">
        <v>0.98935</v>
      </c>
    </row>
    <row r="163" spans="1:6" ht="12.75">
      <c r="A163">
        <v>163.970715263861</v>
      </c>
      <c r="B163">
        <v>162.16539106277</v>
      </c>
      <c r="C163">
        <v>165.776039464951</v>
      </c>
      <c r="D163">
        <v>125</v>
      </c>
      <c r="E163">
        <v>0.003125</v>
      </c>
      <c r="F163">
        <v>0.992475</v>
      </c>
    </row>
    <row r="164" spans="1:6" ht="12.75">
      <c r="A164">
        <v>167.581363666042</v>
      </c>
      <c r="B164">
        <v>165.776039464951</v>
      </c>
      <c r="C164">
        <v>169.386687867133</v>
      </c>
      <c r="D164">
        <v>65</v>
      </c>
      <c r="E164">
        <v>0.001625</v>
      </c>
      <c r="F164">
        <v>0.9941</v>
      </c>
    </row>
    <row r="165" spans="1:6" ht="12.75">
      <c r="A165">
        <v>171.192012068223</v>
      </c>
      <c r="B165">
        <v>169.386687867133</v>
      </c>
      <c r="C165">
        <v>172.997336269314</v>
      </c>
      <c r="D165">
        <v>57</v>
      </c>
      <c r="E165">
        <v>0.001425</v>
      </c>
      <c r="F165">
        <v>0.995525</v>
      </c>
    </row>
    <row r="166" spans="1:6" ht="12.75">
      <c r="A166">
        <v>174.802660470404</v>
      </c>
      <c r="B166">
        <v>172.997336269314</v>
      </c>
      <c r="C166">
        <v>176.607984671495</v>
      </c>
      <c r="D166">
        <v>49</v>
      </c>
      <c r="E166">
        <v>0.001225</v>
      </c>
      <c r="F166">
        <v>0.99675</v>
      </c>
    </row>
    <row r="167" spans="1:6" ht="12.75">
      <c r="A167">
        <v>178.413308872586</v>
      </c>
      <c r="B167">
        <v>176.607984671495</v>
      </c>
      <c r="C167">
        <v>180.218633073676</v>
      </c>
      <c r="D167">
        <v>41</v>
      </c>
      <c r="E167">
        <v>0.001025</v>
      </c>
      <c r="F167">
        <v>0.997775</v>
      </c>
    </row>
    <row r="168" spans="1:6" ht="12.75">
      <c r="A168">
        <v>182.023957274767</v>
      </c>
      <c r="B168">
        <v>180.218633073676</v>
      </c>
      <c r="C168">
        <v>183.829281475857</v>
      </c>
      <c r="D168">
        <v>17</v>
      </c>
      <c r="E168">
        <v>0.000425</v>
      </c>
      <c r="F168">
        <v>0.9982</v>
      </c>
    </row>
    <row r="169" spans="1:6" ht="12.75">
      <c r="A169">
        <v>185.634605676948</v>
      </c>
      <c r="B169">
        <v>183.829281475857</v>
      </c>
      <c r="C169">
        <v>187.439929878039</v>
      </c>
      <c r="D169">
        <v>22</v>
      </c>
      <c r="E169">
        <v>0.00055</v>
      </c>
      <c r="F169">
        <v>0.99875</v>
      </c>
    </row>
    <row r="170" spans="1:6" ht="12.75">
      <c r="A170">
        <v>189.245254079129</v>
      </c>
      <c r="B170">
        <v>187.439929878039</v>
      </c>
      <c r="C170">
        <v>191.05057828022</v>
      </c>
      <c r="D170">
        <v>14</v>
      </c>
      <c r="E170">
        <v>0.00035</v>
      </c>
      <c r="F170">
        <v>0.9991</v>
      </c>
    </row>
    <row r="171" spans="1:6" ht="12.75">
      <c r="A171">
        <v>192.85590248131</v>
      </c>
      <c r="B171">
        <v>191.05057828022</v>
      </c>
      <c r="C171">
        <v>194.661226682401</v>
      </c>
      <c r="D171">
        <v>12</v>
      </c>
      <c r="E171">
        <v>0.0003</v>
      </c>
      <c r="F171">
        <v>0.9994</v>
      </c>
    </row>
    <row r="172" spans="1:6" ht="12.75">
      <c r="A172">
        <v>196.466550883492</v>
      </c>
      <c r="B172">
        <v>194.661226682401</v>
      </c>
      <c r="C172">
        <v>198.271875084582</v>
      </c>
      <c r="D172">
        <v>10</v>
      </c>
      <c r="E172">
        <v>0.00025</v>
      </c>
      <c r="F172">
        <v>0.99965</v>
      </c>
    </row>
    <row r="173" spans="1:6" ht="12.75">
      <c r="A173">
        <v>200.077199285673</v>
      </c>
      <c r="B173">
        <v>198.271875084582</v>
      </c>
      <c r="C173">
        <v>201.882523486764</v>
      </c>
      <c r="D173">
        <v>5</v>
      </c>
      <c r="E173">
        <v>0.000125</v>
      </c>
      <c r="F173">
        <v>0.999775</v>
      </c>
    </row>
    <row r="174" spans="1:6" ht="12.75">
      <c r="A174">
        <v>203.687847687854</v>
      </c>
      <c r="B174">
        <v>201.882523486764</v>
      </c>
      <c r="C174">
        <v>205.493171888945</v>
      </c>
      <c r="D174">
        <v>4</v>
      </c>
      <c r="E174">
        <v>0.0001</v>
      </c>
      <c r="F174">
        <v>0.999875</v>
      </c>
    </row>
    <row r="175" spans="1:6" ht="12.75">
      <c r="A175">
        <v>207.298496090035</v>
      </c>
      <c r="B175">
        <v>205.493171888945</v>
      </c>
      <c r="C175">
        <v>209.103820291126</v>
      </c>
      <c r="D175">
        <v>3</v>
      </c>
      <c r="E175">
        <v>7.5E-05</v>
      </c>
      <c r="F175">
        <v>0.99995</v>
      </c>
    </row>
    <row r="176" spans="1:6" ht="12.75">
      <c r="A176">
        <v>210.909144492217</v>
      </c>
      <c r="B176">
        <v>209.103820291126</v>
      </c>
      <c r="C176">
        <v>212.714468693307</v>
      </c>
      <c r="D176">
        <v>2</v>
      </c>
      <c r="E176">
        <v>5E-05</v>
      </c>
      <c r="F176">
        <v>1</v>
      </c>
    </row>
    <row r="180" spans="1:13" ht="12.75">
      <c r="A180" s="1" t="s">
        <v>4</v>
      </c>
      <c r="G180" s="224" t="s">
        <v>8</v>
      </c>
      <c r="J180" s="224" t="s">
        <v>9</v>
      </c>
      <c r="M180" s="224" t="s">
        <v>10</v>
      </c>
    </row>
    <row r="181" spans="1:15" ht="12.75">
      <c r="A181" s="221" t="s">
        <v>1</v>
      </c>
      <c r="C181" t="s">
        <v>2</v>
      </c>
      <c r="D181" t="s">
        <v>6</v>
      </c>
      <c r="E181" t="s">
        <v>7</v>
      </c>
      <c r="F181" t="s">
        <v>5</v>
      </c>
      <c r="G181" t="s">
        <v>145</v>
      </c>
      <c r="H181" t="s">
        <v>144</v>
      </c>
      <c r="I181" t="s">
        <v>3</v>
      </c>
      <c r="J181" t="s">
        <v>145</v>
      </c>
      <c r="K181" t="s">
        <v>144</v>
      </c>
      <c r="L181" t="s">
        <v>3</v>
      </c>
      <c r="M181" t="s">
        <v>145</v>
      </c>
      <c r="N181" t="s">
        <v>144</v>
      </c>
      <c r="O181" t="s">
        <v>3</v>
      </c>
    </row>
    <row r="182" spans="1:24" ht="12.75">
      <c r="A182" s="221" t="s">
        <v>0</v>
      </c>
      <c r="C182">
        <v>1980</v>
      </c>
      <c r="D182">
        <v>0.15554790527221746</v>
      </c>
      <c r="E182">
        <v>0.40890065757322097</v>
      </c>
      <c r="F182">
        <v>0.56</v>
      </c>
      <c r="K182" s="223"/>
      <c r="M182" s="221"/>
      <c r="O182" s="222"/>
      <c r="P182" s="222"/>
      <c r="W182" s="222"/>
      <c r="X182" s="223"/>
    </row>
    <row r="183" spans="1:6" ht="12.75">
      <c r="A183" s="221" t="s">
        <v>0</v>
      </c>
      <c r="C183">
        <v>1981</v>
      </c>
      <c r="D183">
        <v>0.37331497265332186</v>
      </c>
      <c r="E183">
        <v>0.7906918792852339</v>
      </c>
      <c r="F183">
        <v>1.16</v>
      </c>
    </row>
    <row r="184" spans="1:11" ht="12.75">
      <c r="A184" s="221" t="s">
        <v>0</v>
      </c>
      <c r="C184">
        <v>1982</v>
      </c>
      <c r="D184">
        <v>0.4588663205530415</v>
      </c>
      <c r="E184">
        <v>0.5557434351547643</v>
      </c>
      <c r="F184">
        <v>1.01</v>
      </c>
      <c r="K184" s="222"/>
    </row>
    <row r="185" spans="1:11" ht="12.75">
      <c r="A185" s="221" t="s">
        <v>0</v>
      </c>
      <c r="C185">
        <v>1983</v>
      </c>
      <c r="D185">
        <v>0.4666437158166523</v>
      </c>
      <c r="E185">
        <v>0.6664402982546972</v>
      </c>
      <c r="F185">
        <v>1.13</v>
      </c>
      <c r="K185" s="222"/>
    </row>
    <row r="186" spans="1:38" ht="12.75">
      <c r="A186" s="221" t="s">
        <v>0</v>
      </c>
      <c r="C186">
        <v>1984</v>
      </c>
      <c r="D186">
        <v>0.6455238068797023</v>
      </c>
      <c r="E186">
        <v>0.6528855803240932</v>
      </c>
      <c r="F186">
        <v>1.3</v>
      </c>
      <c r="G186">
        <v>0.3883263930090326</v>
      </c>
      <c r="H186">
        <v>0.7681006827342272</v>
      </c>
      <c r="I186">
        <v>1.16</v>
      </c>
      <c r="M186" s="6">
        <v>0.47375819947101977</v>
      </c>
      <c r="N186" s="6">
        <v>1.504573690297045</v>
      </c>
      <c r="O186" s="6">
        <v>1.98</v>
      </c>
      <c r="AK186" s="222"/>
      <c r="AL186" s="222"/>
    </row>
    <row r="187" spans="1:38" ht="12.75">
      <c r="A187" s="221" t="s">
        <v>0</v>
      </c>
      <c r="C187">
        <v>1985</v>
      </c>
      <c r="D187">
        <v>0.17110269579943918</v>
      </c>
      <c r="E187">
        <v>0.2055798886141608</v>
      </c>
      <c r="F187">
        <v>0.38</v>
      </c>
      <c r="G187">
        <v>0.054365695021264565</v>
      </c>
      <c r="H187">
        <v>0.3479044268855029</v>
      </c>
      <c r="I187">
        <v>0.4</v>
      </c>
      <c r="M187" s="6">
        <v>0.17863014078415498</v>
      </c>
      <c r="N187" s="6">
        <v>1.1273007078952335</v>
      </c>
      <c r="O187" s="6">
        <v>1.31</v>
      </c>
      <c r="AK187" s="222"/>
      <c r="AL187" s="222"/>
    </row>
    <row r="188" spans="1:38" ht="12.75">
      <c r="A188" s="221" t="s">
        <v>0</v>
      </c>
      <c r="C188">
        <v>1986</v>
      </c>
      <c r="D188">
        <v>0.30331841528082404</v>
      </c>
      <c r="E188">
        <v>0.34112706792020087</v>
      </c>
      <c r="F188">
        <v>0.64</v>
      </c>
      <c r="G188">
        <v>0.21746278008505826</v>
      </c>
      <c r="H188">
        <v>0.43826921308952965</v>
      </c>
      <c r="I188">
        <v>0.66</v>
      </c>
      <c r="M188" s="6">
        <v>0.35726028156830997</v>
      </c>
      <c r="N188" s="6">
        <v>1.0640453575524147</v>
      </c>
      <c r="O188" s="6">
        <v>1.42</v>
      </c>
      <c r="AK188" s="222"/>
      <c r="AL188" s="222"/>
    </row>
    <row r="189" spans="1:38" ht="12.75">
      <c r="A189" s="221" t="s">
        <v>0</v>
      </c>
      <c r="C189">
        <v>1987</v>
      </c>
      <c r="D189">
        <v>0.2022122768538827</v>
      </c>
      <c r="E189">
        <v>0.4721560079160396</v>
      </c>
      <c r="F189">
        <v>0.67</v>
      </c>
      <c r="G189">
        <v>0.2873615308266841</v>
      </c>
      <c r="H189">
        <v>0.5218566403282544</v>
      </c>
      <c r="I189">
        <v>0.81</v>
      </c>
      <c r="M189" s="6">
        <v>0.2562954193859615</v>
      </c>
      <c r="N189" s="6">
        <v>1.0934139130687233</v>
      </c>
      <c r="O189" s="6">
        <v>1.35</v>
      </c>
      <c r="AK189" s="222"/>
      <c r="AL189" s="222"/>
    </row>
    <row r="190" spans="1:38" ht="12.75">
      <c r="A190" s="221" t="s">
        <v>0</v>
      </c>
      <c r="C190">
        <v>1988</v>
      </c>
      <c r="D190">
        <v>0.26443143896276966</v>
      </c>
      <c r="E190">
        <v>0.4518239310201337</v>
      </c>
      <c r="F190">
        <v>0.72</v>
      </c>
      <c r="G190">
        <v>0.17086361292397434</v>
      </c>
      <c r="H190">
        <v>0.5195975206731537</v>
      </c>
      <c r="I190">
        <v>0.69</v>
      </c>
      <c r="M190" s="6">
        <v>0.1941631965045163</v>
      </c>
      <c r="N190" s="6">
        <v>1.1318189472054347</v>
      </c>
      <c r="O190" s="6">
        <v>1.32</v>
      </c>
      <c r="AK190" s="222"/>
      <c r="AL190" s="222"/>
    </row>
    <row r="191" spans="1:38" ht="12.75">
      <c r="A191" s="221" t="s">
        <v>0</v>
      </c>
      <c r="C191">
        <v>1989</v>
      </c>
      <c r="D191">
        <v>0.5366402731891502</v>
      </c>
      <c r="E191">
        <v>0.5896302299812745</v>
      </c>
      <c r="F191">
        <v>1.13</v>
      </c>
      <c r="G191">
        <v>0.333960697987768</v>
      </c>
      <c r="H191">
        <v>0.7025862127363078</v>
      </c>
      <c r="I191">
        <v>1.04</v>
      </c>
      <c r="M191" s="6">
        <v>0.6135557009542715</v>
      </c>
      <c r="N191" s="6">
        <v>1.4661686561603338</v>
      </c>
      <c r="O191" s="6">
        <v>2.08</v>
      </c>
      <c r="AK191" s="222"/>
      <c r="AL191" s="222"/>
    </row>
    <row r="192" spans="1:38" ht="12.75">
      <c r="A192" s="221" t="s">
        <v>0</v>
      </c>
      <c r="C192">
        <v>1990</v>
      </c>
      <c r="D192">
        <v>1.3221571948138482</v>
      </c>
      <c r="E192">
        <v>0.926239058591274</v>
      </c>
      <c r="F192">
        <v>2.25</v>
      </c>
      <c r="G192">
        <v>0.6057891730940909</v>
      </c>
      <c r="H192">
        <v>0.8855749047994619</v>
      </c>
      <c r="I192">
        <v>1.5</v>
      </c>
      <c r="M192" s="6">
        <v>1.2970101526501687</v>
      </c>
      <c r="N192" s="6">
        <v>1.9428429033865746</v>
      </c>
      <c r="O192" s="6">
        <v>3.24</v>
      </c>
      <c r="AK192" s="222"/>
      <c r="AL192" s="222"/>
    </row>
    <row r="193" spans="1:38" ht="12.75">
      <c r="A193" s="221" t="s">
        <v>0</v>
      </c>
      <c r="C193">
        <v>1991</v>
      </c>
      <c r="D193">
        <v>0.2877636247536023</v>
      </c>
      <c r="E193">
        <v>0.7229182896322138</v>
      </c>
      <c r="F193">
        <v>1.01</v>
      </c>
      <c r="G193">
        <v>0.30289458654704543</v>
      </c>
      <c r="H193">
        <v>0.7816554006648312</v>
      </c>
      <c r="I193">
        <v>1.09</v>
      </c>
      <c r="M193">
        <v>0.38055986514885193</v>
      </c>
      <c r="N193">
        <v>1.3803221092665083</v>
      </c>
      <c r="O193">
        <v>1.76</v>
      </c>
      <c r="T193" s="222"/>
      <c r="U193" s="222"/>
      <c r="AK193" s="222"/>
      <c r="AL193" s="222"/>
    </row>
    <row r="194" spans="1:38" ht="12.75">
      <c r="A194" s="221" t="s">
        <v>0</v>
      </c>
      <c r="C194">
        <v>1992</v>
      </c>
      <c r="D194">
        <v>0.32665060107165667</v>
      </c>
      <c r="E194">
        <v>0.6845132554955023</v>
      </c>
      <c r="F194">
        <v>1.01</v>
      </c>
      <c r="G194">
        <v>0.333960697987768</v>
      </c>
      <c r="H194">
        <v>0.6528855803240932</v>
      </c>
      <c r="I194">
        <v>0.99</v>
      </c>
      <c r="M194">
        <v>0.3960929208692132</v>
      </c>
      <c r="N194">
        <v>1.2267019727196626</v>
      </c>
      <c r="O194">
        <v>1.62</v>
      </c>
      <c r="T194" s="222"/>
      <c r="U194" s="222"/>
      <c r="AK194" s="222"/>
      <c r="AL194" s="222"/>
    </row>
    <row r="195" spans="1:38" ht="12.75">
      <c r="A195" s="221" t="s">
        <v>0</v>
      </c>
      <c r="C195">
        <v>1993</v>
      </c>
      <c r="D195">
        <v>0.47442111108026325</v>
      </c>
      <c r="E195">
        <v>0.6189987854975831</v>
      </c>
      <c r="F195">
        <v>1.09</v>
      </c>
      <c r="G195">
        <v>0.5980226452339101</v>
      </c>
      <c r="H195">
        <v>1.0166038447953007</v>
      </c>
      <c r="I195">
        <v>1.62</v>
      </c>
      <c r="M195">
        <v>0.5669565337931876</v>
      </c>
      <c r="N195">
        <v>1.231220212029864</v>
      </c>
      <c r="O195">
        <v>1.8</v>
      </c>
      <c r="T195" s="222"/>
      <c r="U195" s="222"/>
      <c r="AK195" s="222"/>
      <c r="AL195" s="222"/>
    </row>
    <row r="196" spans="1:38" ht="12.75">
      <c r="A196" s="221" t="s">
        <v>0</v>
      </c>
      <c r="C196">
        <v>1994</v>
      </c>
      <c r="D196">
        <v>0.45108892528943056</v>
      </c>
      <c r="E196">
        <v>0.7274365289424152</v>
      </c>
      <c r="F196">
        <v>1.18</v>
      </c>
      <c r="G196">
        <v>0.3650268094284906</v>
      </c>
      <c r="H196">
        <v>0.6528855803240932</v>
      </c>
      <c r="I196">
        <v>1.02</v>
      </c>
      <c r="M196">
        <v>0.5358904223524649</v>
      </c>
      <c r="N196">
        <v>1.3690265109910047</v>
      </c>
      <c r="O196">
        <v>1.91</v>
      </c>
      <c r="T196" s="222"/>
      <c r="U196" s="222"/>
      <c r="AK196" s="222"/>
      <c r="AL196" s="222"/>
    </row>
    <row r="197" spans="1:38" ht="12.75">
      <c r="A197" s="221" t="s">
        <v>0</v>
      </c>
      <c r="C197">
        <v>1995</v>
      </c>
      <c r="D197">
        <v>0.5055306921347067</v>
      </c>
      <c r="E197">
        <v>0.7658415630791265</v>
      </c>
      <c r="F197">
        <v>1.27</v>
      </c>
      <c r="G197">
        <v>0.5747230616533682</v>
      </c>
      <c r="H197">
        <v>0.7816554006648312</v>
      </c>
      <c r="I197">
        <v>1.36</v>
      </c>
      <c r="M197">
        <v>0.5824895895135489</v>
      </c>
      <c r="N197">
        <v>1.2447749299604682</v>
      </c>
      <c r="O197">
        <v>1.83</v>
      </c>
      <c r="T197" s="222"/>
      <c r="U197" s="222"/>
      <c r="AK197" s="222"/>
      <c r="AL197" s="222"/>
    </row>
    <row r="198" spans="1:38" ht="12.75">
      <c r="A198" s="221" t="s">
        <v>0</v>
      </c>
      <c r="C198">
        <v>1996</v>
      </c>
      <c r="D198">
        <v>0.29554102001721316</v>
      </c>
      <c r="E198">
        <v>0.415678016538523</v>
      </c>
      <c r="F198">
        <v>0.71</v>
      </c>
      <c r="G198">
        <v>0.45045861589047775</v>
      </c>
      <c r="H198">
        <v>0.7500277254934218</v>
      </c>
      <c r="I198">
        <v>1.2</v>
      </c>
      <c r="M198">
        <v>0.8154854253189685</v>
      </c>
      <c r="N198">
        <v>1.5700881602949646</v>
      </c>
      <c r="O198">
        <v>2.38</v>
      </c>
      <c r="T198" s="222"/>
      <c r="U198" s="222"/>
      <c r="AK198" s="222"/>
      <c r="AL198" s="222"/>
    </row>
    <row r="199" spans="1:38" ht="12.75">
      <c r="A199" s="221" t="s">
        <v>0</v>
      </c>
      <c r="C199">
        <v>1997</v>
      </c>
      <c r="D199">
        <v>0.4355341347622089</v>
      </c>
      <c r="E199">
        <v>1.0595271182422135</v>
      </c>
      <c r="F199">
        <v>1.49</v>
      </c>
      <c r="G199">
        <v>0.42715903230993585</v>
      </c>
      <c r="H199">
        <v>0.8336151527321466</v>
      </c>
      <c r="I199">
        <v>1.26</v>
      </c>
      <c r="M199">
        <v>0.5436569502126456</v>
      </c>
      <c r="N199">
        <v>1.8072957240805347</v>
      </c>
      <c r="O199">
        <v>2.35</v>
      </c>
      <c r="T199" s="222"/>
      <c r="U199" s="222"/>
      <c r="AK199" s="222"/>
      <c r="AL199" s="222"/>
    </row>
    <row r="200" spans="1:38" ht="12.75">
      <c r="A200" s="221" t="s">
        <v>0</v>
      </c>
      <c r="C200">
        <v>1998</v>
      </c>
      <c r="D200">
        <v>0.30331841528082404</v>
      </c>
      <c r="E200">
        <v>0.6867723751506032</v>
      </c>
      <c r="F200">
        <v>0.99</v>
      </c>
      <c r="G200">
        <v>0.2718284751063228</v>
      </c>
      <c r="H200">
        <v>0.6754767768750999</v>
      </c>
      <c r="I200">
        <v>0.95</v>
      </c>
      <c r="M200">
        <v>0.27959500296650347</v>
      </c>
      <c r="N200">
        <v>1.1476327847911394</v>
      </c>
      <c r="O200">
        <v>1.43</v>
      </c>
      <c r="T200" s="222"/>
      <c r="U200" s="222"/>
      <c r="AK200" s="222"/>
      <c r="AL200" s="222"/>
    </row>
    <row r="201" spans="1:38" ht="12.75">
      <c r="A201" s="221" t="s">
        <v>0</v>
      </c>
      <c r="C201">
        <v>1999</v>
      </c>
      <c r="D201">
        <v>0.5288628779255393</v>
      </c>
      <c r="E201">
        <v>0.7251774092873144</v>
      </c>
      <c r="F201">
        <v>1.25</v>
      </c>
      <c r="G201">
        <v>0.35726028156830997</v>
      </c>
      <c r="H201">
        <v>0.6935497341159051</v>
      </c>
      <c r="I201">
        <v>1.05</v>
      </c>
      <c r="J201" s="6">
        <v>0.046599167161083914</v>
      </c>
      <c r="K201">
        <v>0.1491018972366441</v>
      </c>
      <c r="L201">
        <v>0.19</v>
      </c>
      <c r="M201">
        <v>0.3650268094284906</v>
      </c>
      <c r="N201">
        <v>1.518128408227649</v>
      </c>
      <c r="O201">
        <v>1.88</v>
      </c>
      <c r="T201" s="222"/>
      <c r="U201" s="222"/>
      <c r="AK201" s="222"/>
      <c r="AL201" s="222"/>
    </row>
    <row r="202" spans="1:38" ht="12.75">
      <c r="A202" s="221" t="s">
        <v>0</v>
      </c>
      <c r="C202">
        <v>2000</v>
      </c>
      <c r="D202">
        <v>0.20998967211749356</v>
      </c>
      <c r="E202">
        <v>0.7432503665281199</v>
      </c>
      <c r="F202">
        <v>0.95</v>
      </c>
      <c r="G202">
        <v>0.27959500296650347</v>
      </c>
      <c r="H202">
        <v>0.6528855803240932</v>
      </c>
      <c r="I202">
        <v>0.94</v>
      </c>
      <c r="J202" s="6">
        <v>0.16309708506379367</v>
      </c>
      <c r="K202">
        <v>0.5941484692914757</v>
      </c>
      <c r="L202">
        <v>0.76</v>
      </c>
      <c r="M202">
        <v>0.38055986514885193</v>
      </c>
      <c r="N202">
        <v>1.4232453827134208</v>
      </c>
      <c r="O202">
        <v>1.81</v>
      </c>
      <c r="T202" s="222"/>
      <c r="U202" s="222"/>
      <c r="AK202" s="222"/>
      <c r="AL202" s="222"/>
    </row>
    <row r="203" spans="1:38" ht="12.75">
      <c r="A203" s="221" t="s">
        <v>0</v>
      </c>
      <c r="C203">
        <v>2001</v>
      </c>
      <c r="D203">
        <v>0.2799862294899914</v>
      </c>
      <c r="E203">
        <v>0.5625207941200665</v>
      </c>
      <c r="F203">
        <v>0.84</v>
      </c>
      <c r="G203">
        <v>0.2873615308266841</v>
      </c>
      <c r="H203">
        <v>0.6393308623934891</v>
      </c>
      <c r="I203">
        <v>0.92</v>
      </c>
      <c r="J203" s="6">
        <v>0.24852889152578087</v>
      </c>
      <c r="K203">
        <v>0.6619220589444959</v>
      </c>
      <c r="L203">
        <v>0.91</v>
      </c>
      <c r="M203">
        <v>0.41162597658957456</v>
      </c>
      <c r="N203">
        <v>1.4164680237481189</v>
      </c>
      <c r="O203">
        <v>1.83</v>
      </c>
      <c r="T203" s="222"/>
      <c r="U203" s="222"/>
      <c r="AK203" s="222"/>
      <c r="AL203" s="222"/>
    </row>
    <row r="204" spans="1:38" ht="12.75">
      <c r="A204" s="221" t="s">
        <v>0</v>
      </c>
      <c r="C204">
        <v>2002</v>
      </c>
      <c r="D204">
        <v>0.3188732058080458</v>
      </c>
      <c r="E204">
        <v>0.6506264606689924</v>
      </c>
      <c r="F204">
        <v>0.97</v>
      </c>
      <c r="G204">
        <v>0.42715903230993585</v>
      </c>
      <c r="H204">
        <v>0.7274365289424152</v>
      </c>
      <c r="I204">
        <v>1.16</v>
      </c>
      <c r="J204" s="6">
        <v>0.2407623636656002</v>
      </c>
      <c r="K204">
        <v>0.598666708601677</v>
      </c>
      <c r="L204">
        <v>0.84</v>
      </c>
      <c r="M204">
        <v>0.5048243109117424</v>
      </c>
      <c r="N204">
        <v>1.3306214768542934</v>
      </c>
      <c r="O204">
        <v>1.83</v>
      </c>
      <c r="T204" s="222"/>
      <c r="U204" s="222"/>
      <c r="AK204" s="222"/>
      <c r="AL204" s="222"/>
    </row>
    <row r="205" spans="1:38" ht="12.75">
      <c r="A205" s="221" t="s">
        <v>0</v>
      </c>
      <c r="C205">
        <v>2003</v>
      </c>
      <c r="D205">
        <v>0.3888697631805436</v>
      </c>
      <c r="E205">
        <v>0.6574038196342944</v>
      </c>
      <c r="F205">
        <v>1.04</v>
      </c>
      <c r="G205">
        <v>0.44269208803029714</v>
      </c>
      <c r="H205">
        <v>0.7319547682526166</v>
      </c>
      <c r="I205">
        <v>1.18</v>
      </c>
      <c r="J205" s="6">
        <v>0.333960697987768</v>
      </c>
      <c r="K205">
        <v>0.5896302299812745</v>
      </c>
      <c r="L205">
        <v>0.93</v>
      </c>
      <c r="M205">
        <v>0.42715903230993585</v>
      </c>
      <c r="N205">
        <v>1.1385963061707367</v>
      </c>
      <c r="O205">
        <v>1.56</v>
      </c>
      <c r="T205" s="222"/>
      <c r="U205" s="222"/>
      <c r="AK205" s="222"/>
      <c r="AL205" s="222"/>
    </row>
    <row r="206" spans="1:38" ht="12.75">
      <c r="A206" s="221" t="s">
        <v>0</v>
      </c>
      <c r="C206">
        <v>2004</v>
      </c>
      <c r="D206">
        <v>0.23332185790832616</v>
      </c>
      <c r="E206">
        <v>0.6144805461873818</v>
      </c>
      <c r="F206">
        <v>0.85</v>
      </c>
      <c r="G206">
        <v>0.3417272258479487</v>
      </c>
      <c r="H206">
        <v>0.6845132554955023</v>
      </c>
      <c r="I206">
        <v>1.03</v>
      </c>
      <c r="J206" s="6">
        <v>0.21746278008505826</v>
      </c>
      <c r="K206">
        <v>0.6077031872220797</v>
      </c>
      <c r="L206">
        <v>0.82</v>
      </c>
      <c r="M206">
        <v>0.34949375370812935</v>
      </c>
      <c r="N206">
        <v>1.382581228921609</v>
      </c>
      <c r="O206">
        <v>1.73</v>
      </c>
      <c r="AK206" s="222"/>
      <c r="AL206" s="222"/>
    </row>
    <row r="207" spans="1:38" ht="12.75">
      <c r="A207" s="221" t="s">
        <v>0</v>
      </c>
      <c r="C207">
        <v>2005</v>
      </c>
      <c r="D207">
        <v>0.24109925317193703</v>
      </c>
      <c r="E207">
        <v>0.7093635717016098</v>
      </c>
      <c r="F207">
        <v>0.95</v>
      </c>
      <c r="G207">
        <v>0.44269208803029714</v>
      </c>
      <c r="H207">
        <v>0.8223195544566432</v>
      </c>
      <c r="I207">
        <v>1.26</v>
      </c>
      <c r="J207" s="6">
        <v>0.27959500296650347</v>
      </c>
      <c r="K207">
        <v>0.5783346317057712</v>
      </c>
      <c r="L207">
        <v>0.85</v>
      </c>
      <c r="M207">
        <v>0.27959500296650347</v>
      </c>
      <c r="N207">
        <v>0.9827170499687906</v>
      </c>
      <c r="O207">
        <v>1.26</v>
      </c>
      <c r="AK207" s="222"/>
      <c r="AL207" s="222"/>
    </row>
    <row r="210" spans="1:15" ht="12.75">
      <c r="A210" s="224" t="s">
        <v>11</v>
      </c>
      <c r="B210" s="225"/>
      <c r="C210" s="225"/>
      <c r="D210" s="225">
        <f>AVERAGE(D182:D207)</f>
        <v>0.39156193846410126</v>
      </c>
      <c r="E210" s="225">
        <f aca="true" t="shared" si="0" ref="E210:O210">AVERAGE(E182:E207)</f>
        <v>0.6309894975131175</v>
      </c>
      <c r="F210" s="226">
        <f t="shared" si="0"/>
        <v>1.0211538461538459</v>
      </c>
      <c r="G210" s="225">
        <f t="shared" si="0"/>
        <v>0.36184959348568935</v>
      </c>
      <c r="H210" s="225">
        <f t="shared" si="0"/>
        <v>0.6945766066864054</v>
      </c>
      <c r="I210" s="226">
        <f t="shared" si="0"/>
        <v>1.0586363636363638</v>
      </c>
      <c r="J210" s="225">
        <f t="shared" si="0"/>
        <v>0.21857228406508408</v>
      </c>
      <c r="K210" s="225">
        <f t="shared" si="0"/>
        <v>0.5399295975690598</v>
      </c>
      <c r="L210" s="226">
        <f t="shared" si="0"/>
        <v>0.7571428571428571</v>
      </c>
      <c r="M210" s="225">
        <f t="shared" si="0"/>
        <v>0.4631674796616825</v>
      </c>
      <c r="N210" s="225">
        <f t="shared" si="0"/>
        <v>1.3408902025592968</v>
      </c>
      <c r="O210" s="226">
        <f t="shared" si="0"/>
        <v>1.8036363636363637</v>
      </c>
    </row>
    <row r="211" spans="1:15" ht="12.75">
      <c r="A211" s="224" t="s">
        <v>12</v>
      </c>
      <c r="B211" s="225"/>
      <c r="C211" s="225"/>
      <c r="D211" s="225">
        <f>STDEV(D182:D207)</f>
        <v>0.22809860407256366</v>
      </c>
      <c r="E211" s="225">
        <f aca="true" t="shared" si="1" ref="E211:O211">STDEV(E182:E207)</f>
        <v>0.17879075354783186</v>
      </c>
      <c r="F211" s="226">
        <f t="shared" si="1"/>
        <v>0.35503607617341626</v>
      </c>
      <c r="G211" s="225">
        <f t="shared" si="1"/>
        <v>0.1334625027360805</v>
      </c>
      <c r="H211" s="225">
        <f t="shared" si="1"/>
        <v>0.14753168636906813</v>
      </c>
      <c r="I211" s="226">
        <f t="shared" si="1"/>
        <v>0.2743875509904335</v>
      </c>
      <c r="J211" s="225">
        <f t="shared" si="1"/>
        <v>0.0922691153582254</v>
      </c>
      <c r="K211" s="225">
        <f t="shared" si="1"/>
        <v>0.17443076238942842</v>
      </c>
      <c r="L211" s="226">
        <f t="shared" si="1"/>
        <v>0.2563665530520892</v>
      </c>
      <c r="M211" s="225">
        <f t="shared" si="1"/>
        <v>0.23905081082972196</v>
      </c>
      <c r="N211" s="225">
        <f t="shared" si="1"/>
        <v>0.23815565427867405</v>
      </c>
      <c r="O211" s="226">
        <f t="shared" si="1"/>
        <v>0.44650543061322207</v>
      </c>
    </row>
    <row r="214" spans="1:4" ht="12.75">
      <c r="A214" s="1" t="s">
        <v>13</v>
      </c>
      <c r="D214" s="215">
        <f>AVERAGE(F210,I210,L210,O210)</f>
        <v>1.1601423576423575</v>
      </c>
    </row>
    <row r="215" spans="1:4" ht="12.75">
      <c r="A215" s="1" t="s">
        <v>14</v>
      </c>
      <c r="D215" s="215">
        <f>STDEV(F210,I210,L210,O210)</f>
        <v>0.44948652419473767</v>
      </c>
    </row>
    <row r="217" spans="1:6" ht="12.75">
      <c r="A217" s="1" t="s">
        <v>15</v>
      </c>
      <c r="E217" s="215">
        <f>D214+AVERAGE(R10:R13)+AVERAGE(S10:S13)</f>
        <v>1.3017715079426866</v>
      </c>
      <c r="F217" t="s">
        <v>16</v>
      </c>
    </row>
  </sheetData>
  <mergeCells count="2">
    <mergeCell ref="A17:E18"/>
    <mergeCell ref="A19:E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29"/>
  <sheetViews>
    <sheetView workbookViewId="0" topLeftCell="N1">
      <selection activeCell="AB19" sqref="AB19"/>
    </sheetView>
  </sheetViews>
  <sheetFormatPr defaultColWidth="9.140625" defaultRowHeight="12.75"/>
  <sheetData>
    <row r="1" spans="1:14" ht="12.75">
      <c r="A1" t="s">
        <v>727</v>
      </c>
      <c r="N1" t="s">
        <v>139</v>
      </c>
    </row>
    <row r="2" spans="14:18" ht="12.75">
      <c r="N2" t="s">
        <v>101</v>
      </c>
      <c r="O2" t="s">
        <v>102</v>
      </c>
      <c r="P2" t="s">
        <v>103</v>
      </c>
      <c r="Q2" t="s">
        <v>102</v>
      </c>
      <c r="R2" t="s">
        <v>104</v>
      </c>
    </row>
    <row r="3" spans="1:15" ht="12.75">
      <c r="A3" t="s">
        <v>710</v>
      </c>
      <c r="N3" t="s">
        <v>730</v>
      </c>
      <c r="O3" t="s">
        <v>683</v>
      </c>
    </row>
    <row r="4" ht="12.75">
      <c r="A4" s="134" t="s">
        <v>711</v>
      </c>
    </row>
    <row r="5" spans="1:19" ht="12.75">
      <c r="A5" t="s">
        <v>615</v>
      </c>
      <c r="O5" s="22" t="s">
        <v>105</v>
      </c>
      <c r="P5" s="22" t="s">
        <v>106</v>
      </c>
      <c r="Q5" s="22" t="s">
        <v>107</v>
      </c>
      <c r="R5" s="22"/>
      <c r="S5" s="22"/>
    </row>
    <row r="6" spans="1:19" ht="12.75">
      <c r="A6" t="s">
        <v>712</v>
      </c>
      <c r="O6" s="22" t="s">
        <v>140</v>
      </c>
      <c r="P6" s="22" t="s">
        <v>683</v>
      </c>
      <c r="Q6" s="22" t="s">
        <v>141</v>
      </c>
      <c r="R6" s="22" t="s">
        <v>108</v>
      </c>
      <c r="S6" s="22" t="s">
        <v>109</v>
      </c>
    </row>
    <row r="7" spans="1:19" ht="12.75">
      <c r="A7" t="s">
        <v>713</v>
      </c>
      <c r="G7" s="163" t="s">
        <v>728</v>
      </c>
      <c r="H7" s="163"/>
      <c r="I7" s="163"/>
      <c r="J7" s="163"/>
      <c r="K7" s="163"/>
      <c r="L7" s="163"/>
      <c r="M7" s="163"/>
      <c r="O7" s="22" t="s">
        <v>110</v>
      </c>
      <c r="P7" s="22" t="s">
        <v>111</v>
      </c>
      <c r="Q7" s="270">
        <v>0.95</v>
      </c>
      <c r="R7" s="22" t="s">
        <v>112</v>
      </c>
      <c r="S7" s="22" t="s">
        <v>113</v>
      </c>
    </row>
    <row r="8" spans="15:19" ht="12.75">
      <c r="O8" s="22" t="s">
        <v>114</v>
      </c>
      <c r="P8" s="22" t="s">
        <v>683</v>
      </c>
      <c r="Q8" s="22">
        <v>7.194</v>
      </c>
      <c r="R8" s="22" t="s">
        <v>115</v>
      </c>
      <c r="S8" s="22" t="s">
        <v>116</v>
      </c>
    </row>
    <row r="9" spans="15:19" ht="12.75">
      <c r="O9" s="22" t="s">
        <v>109</v>
      </c>
      <c r="P9" s="22" t="s">
        <v>683</v>
      </c>
      <c r="Q9" s="22">
        <v>102.2</v>
      </c>
      <c r="R9" s="22" t="s">
        <v>117</v>
      </c>
      <c r="S9" s="22" t="s">
        <v>118</v>
      </c>
    </row>
    <row r="10" ht="12.75">
      <c r="A10" t="s">
        <v>714</v>
      </c>
    </row>
    <row r="12" spans="1:15" ht="12.75">
      <c r="A12" t="s">
        <v>715</v>
      </c>
      <c r="N12" t="s">
        <v>119</v>
      </c>
      <c r="O12" t="s">
        <v>683</v>
      </c>
    </row>
    <row r="13" ht="12.75">
      <c r="A13" t="s">
        <v>716</v>
      </c>
    </row>
    <row r="14" spans="1:16" ht="12.75">
      <c r="A14" t="s">
        <v>717</v>
      </c>
      <c r="O14" t="s">
        <v>120</v>
      </c>
      <c r="P14" s="58">
        <v>13738000</v>
      </c>
    </row>
    <row r="15" spans="1:16" ht="12.75">
      <c r="A15" t="s">
        <v>718</v>
      </c>
      <c r="O15" t="s">
        <v>121</v>
      </c>
      <c r="P15">
        <v>0.7508</v>
      </c>
    </row>
    <row r="16" spans="1:16" ht="12.75">
      <c r="A16" t="s">
        <v>719</v>
      </c>
      <c r="O16" t="s">
        <v>122</v>
      </c>
      <c r="P16">
        <v>595</v>
      </c>
    </row>
    <row r="17" spans="15:16" ht="12.75">
      <c r="O17" t="s">
        <v>123</v>
      </c>
      <c r="P17">
        <v>0.7504</v>
      </c>
    </row>
    <row r="18" spans="15:16" ht="12.75">
      <c r="O18" t="s">
        <v>124</v>
      </c>
      <c r="P18">
        <v>151.9523</v>
      </c>
    </row>
    <row r="19" ht="12.75">
      <c r="A19" t="s">
        <v>720</v>
      </c>
    </row>
    <row r="21" spans="1:15" ht="12.75">
      <c r="A21" t="s">
        <v>721</v>
      </c>
      <c r="N21" t="s">
        <v>125</v>
      </c>
      <c r="O21" t="s">
        <v>683</v>
      </c>
    </row>
    <row r="22" ht="12.75">
      <c r="A22" t="s">
        <v>616</v>
      </c>
    </row>
    <row r="23" spans="1:16" ht="12.75">
      <c r="A23" t="s">
        <v>722</v>
      </c>
      <c r="O23" t="s">
        <v>126</v>
      </c>
      <c r="P23">
        <v>597</v>
      </c>
    </row>
    <row r="24" spans="1:16" ht="12.75">
      <c r="A24" t="s">
        <v>723</v>
      </c>
      <c r="O24" t="s">
        <v>127</v>
      </c>
      <c r="P24">
        <v>2</v>
      </c>
    </row>
    <row r="25" spans="1:17" ht="12.75">
      <c r="A25" t="s">
        <v>724</v>
      </c>
      <c r="O25" t="s">
        <v>128</v>
      </c>
      <c r="P25" t="s">
        <v>129</v>
      </c>
      <c r="Q25" t="s">
        <v>130</v>
      </c>
    </row>
    <row r="26" spans="1:17" ht="12.75">
      <c r="A26" t="s">
        <v>725</v>
      </c>
      <c r="O26" t="s">
        <v>131</v>
      </c>
      <c r="P26" t="s">
        <v>132</v>
      </c>
      <c r="Q26" t="s">
        <v>130</v>
      </c>
    </row>
    <row r="27" spans="1:16" ht="12.75">
      <c r="A27" t="s">
        <v>726</v>
      </c>
      <c r="O27" t="s">
        <v>133</v>
      </c>
      <c r="P27">
        <v>1</v>
      </c>
    </row>
    <row r="28" spans="15:19" ht="12.75">
      <c r="O28" t="s">
        <v>134</v>
      </c>
      <c r="P28" t="s">
        <v>135</v>
      </c>
      <c r="Q28" t="s">
        <v>136</v>
      </c>
      <c r="R28" t="s">
        <v>766</v>
      </c>
      <c r="S28" t="s">
        <v>137</v>
      </c>
    </row>
    <row r="29" spans="15:16" ht="12.75">
      <c r="O29" t="s">
        <v>138</v>
      </c>
      <c r="P29">
        <v>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A91"/>
  <sheetViews>
    <sheetView workbookViewId="0" topLeftCell="A1">
      <selection activeCell="A1" sqref="A1"/>
    </sheetView>
  </sheetViews>
  <sheetFormatPr defaultColWidth="9.140625" defaultRowHeight="12.75"/>
  <cols>
    <col min="28" max="28" width="12.28125" style="0" bestFit="1" customWidth="1"/>
    <col min="30" max="31" width="11.00390625" style="0" bestFit="1" customWidth="1"/>
    <col min="33" max="33" width="12.28125" style="0" bestFit="1" customWidth="1"/>
  </cols>
  <sheetData>
    <row r="1" spans="2:29" ht="12.75">
      <c r="B1" t="s">
        <v>219</v>
      </c>
      <c r="C1" t="s">
        <v>220</v>
      </c>
      <c r="D1" t="s">
        <v>221</v>
      </c>
      <c r="E1" t="s">
        <v>222</v>
      </c>
      <c r="F1" t="s">
        <v>223</v>
      </c>
      <c r="G1" t="s">
        <v>224</v>
      </c>
      <c r="H1" t="s">
        <v>225</v>
      </c>
      <c r="I1" t="s">
        <v>226</v>
      </c>
      <c r="J1" t="s">
        <v>227</v>
      </c>
      <c r="K1" t="s">
        <v>228</v>
      </c>
      <c r="L1" t="s">
        <v>229</v>
      </c>
      <c r="M1" t="s">
        <v>230</v>
      </c>
      <c r="N1" t="s">
        <v>219</v>
      </c>
      <c r="O1" t="s">
        <v>220</v>
      </c>
      <c r="P1" t="s">
        <v>221</v>
      </c>
      <c r="Q1" t="s">
        <v>222</v>
      </c>
      <c r="R1" t="s">
        <v>223</v>
      </c>
      <c r="S1" t="s">
        <v>224</v>
      </c>
      <c r="T1" t="s">
        <v>225</v>
      </c>
      <c r="U1" t="s">
        <v>226</v>
      </c>
      <c r="V1" t="s">
        <v>227</v>
      </c>
      <c r="W1" t="s">
        <v>228</v>
      </c>
      <c r="X1" t="s">
        <v>229</v>
      </c>
      <c r="Y1" t="s">
        <v>230</v>
      </c>
      <c r="AA1" t="s">
        <v>218</v>
      </c>
      <c r="AB1" t="s">
        <v>650</v>
      </c>
      <c r="AC1" t="s">
        <v>651</v>
      </c>
    </row>
    <row r="2" spans="1:53" ht="12.75">
      <c r="A2" t="s">
        <v>253</v>
      </c>
      <c r="B2">
        <v>1171.47849462365</v>
      </c>
      <c r="C2">
        <v>297.559523809523</v>
      </c>
      <c r="D2">
        <v>222.537878787878</v>
      </c>
      <c r="E2">
        <v>780.708333333333</v>
      </c>
      <c r="F2">
        <v>647.217741935483</v>
      </c>
      <c r="G2">
        <v>276.305555555555</v>
      </c>
      <c r="H2">
        <v>122.002688172043</v>
      </c>
      <c r="I2">
        <v>140.362903225806</v>
      </c>
      <c r="J2">
        <v>721.083333333333</v>
      </c>
      <c r="K2">
        <v>781.774193548387</v>
      </c>
      <c r="L2">
        <v>1057.97222222222</v>
      </c>
      <c r="M2">
        <v>1320.52419354838</v>
      </c>
      <c r="N2">
        <v>2179.46236559139</v>
      </c>
      <c r="O2">
        <v>1374.46428571428</v>
      </c>
      <c r="P2">
        <v>1081.71432062561</v>
      </c>
      <c r="Q2">
        <v>434.222222222222</v>
      </c>
      <c r="R2">
        <v>73.7365591397849</v>
      </c>
      <c r="S2">
        <v>411.986111111111</v>
      </c>
      <c r="T2">
        <v>283.010752688172</v>
      </c>
      <c r="U2">
        <v>106.189170303979</v>
      </c>
      <c r="V2">
        <v>71.4110804701318</v>
      </c>
      <c r="W2">
        <v>63.3080001741994</v>
      </c>
      <c r="X2">
        <v>1025.11687930755</v>
      </c>
      <c r="Y2">
        <v>1792.6884417271</v>
      </c>
      <c r="AA2">
        <v>253521000</v>
      </c>
      <c r="AB2">
        <v>773.840629451257</v>
      </c>
      <c r="AC2">
        <f>AVERAGE(B2:Y2)</f>
        <v>684.8682187987969</v>
      </c>
      <c r="AD2">
        <f>SUM(B2:B6)</f>
        <v>8516.437983762</v>
      </c>
      <c r="AE2">
        <f aca="true" t="shared" si="0" ref="AE2:AQ2">SUM(C2:C6)</f>
        <v>3099.103534473265</v>
      </c>
      <c r="AF2">
        <f t="shared" si="0"/>
        <v>4431.937065204844</v>
      </c>
      <c r="AG2">
        <f t="shared" si="0"/>
        <v>6660.020603098421</v>
      </c>
      <c r="AH2">
        <f t="shared" si="0"/>
        <v>5296.647209271323</v>
      </c>
      <c r="AI2">
        <f t="shared" si="0"/>
        <v>2896.016397200782</v>
      </c>
      <c r="AJ2">
        <f t="shared" si="0"/>
        <v>1848.421346499466</v>
      </c>
      <c r="AK2">
        <f t="shared" si="0"/>
        <v>1129.597835982781</v>
      </c>
      <c r="AL2">
        <f t="shared" si="0"/>
        <v>1518.6277512909883</v>
      </c>
      <c r="AM2">
        <f t="shared" si="0"/>
        <v>2369.207960392338</v>
      </c>
      <c r="AN2">
        <f t="shared" si="0"/>
        <v>4596.740054761085</v>
      </c>
      <c r="AO2">
        <f t="shared" si="0"/>
        <v>11648.33670843445</v>
      </c>
      <c r="AP2">
        <f t="shared" si="0"/>
        <v>18459.00161407169</v>
      </c>
      <c r="AQ2">
        <f t="shared" si="0"/>
        <v>7908.638781749337</v>
      </c>
      <c r="AR2">
        <f aca="true" t="shared" si="1" ref="AR2:BA2">SUM(P2:P6)</f>
        <v>5059.643155953068</v>
      </c>
      <c r="AS2">
        <f t="shared" si="1"/>
        <v>4170.595537546345</v>
      </c>
      <c r="AT2">
        <f t="shared" si="1"/>
        <v>3846.1581885635705</v>
      </c>
      <c r="AU2">
        <f t="shared" si="1"/>
        <v>3785.620965274473</v>
      </c>
      <c r="AV2">
        <f t="shared" si="1"/>
        <v>1942.7191932785227</v>
      </c>
      <c r="AW2">
        <f t="shared" si="1"/>
        <v>970.1202080067976</v>
      </c>
      <c r="AX2">
        <f t="shared" si="1"/>
        <v>722.0980943027935</v>
      </c>
      <c r="AY2">
        <f t="shared" si="1"/>
        <v>719.3928666182164</v>
      </c>
      <c r="AZ2">
        <f t="shared" si="1"/>
        <v>11893.888398016994</v>
      </c>
      <c r="BA2">
        <f t="shared" si="1"/>
        <v>10104.796715773</v>
      </c>
    </row>
    <row r="3" spans="1:29" ht="12.75">
      <c r="A3" t="s">
        <v>149</v>
      </c>
      <c r="B3">
        <v>2204.01091982668</v>
      </c>
      <c r="C3">
        <v>666.291425760743</v>
      </c>
      <c r="D3">
        <v>1137.54833406448</v>
      </c>
      <c r="E3">
        <v>1599.05278091234</v>
      </c>
      <c r="F3">
        <v>967.758503288335</v>
      </c>
      <c r="G3">
        <v>418.433016730798</v>
      </c>
      <c r="H3">
        <v>311.277108106095</v>
      </c>
      <c r="I3">
        <v>221.897056283672</v>
      </c>
      <c r="J3">
        <v>195.164359751588</v>
      </c>
      <c r="K3">
        <v>500.091514873988</v>
      </c>
      <c r="L3">
        <v>1227.16251656223</v>
      </c>
      <c r="M3">
        <v>4057.24832820228</v>
      </c>
      <c r="N3">
        <v>7113.83517471791</v>
      </c>
      <c r="O3">
        <v>2264.57324514438</v>
      </c>
      <c r="P3">
        <v>1214.00623665846</v>
      </c>
      <c r="Q3">
        <v>1045.70894004593</v>
      </c>
      <c r="R3">
        <v>699.097713466782</v>
      </c>
      <c r="S3">
        <v>573.20622280854</v>
      </c>
      <c r="T3">
        <v>287.510628824393</v>
      </c>
      <c r="U3">
        <v>212.738719687209</v>
      </c>
      <c r="V3">
        <v>186.006971469964</v>
      </c>
      <c r="W3">
        <v>167.256640390873</v>
      </c>
      <c r="X3">
        <v>5175.05646087573</v>
      </c>
      <c r="Y3">
        <v>3452.03349329787</v>
      </c>
      <c r="AA3">
        <v>334707435</v>
      </c>
      <c r="AB3">
        <v>1326.76506953193</v>
      </c>
      <c r="AC3">
        <f>AVERAGE(B3:Y3)</f>
        <v>1495.706929656303</v>
      </c>
    </row>
    <row r="4" spans="1:29" ht="12.75">
      <c r="A4" t="s">
        <v>254</v>
      </c>
      <c r="B4">
        <v>1088.44311174325</v>
      </c>
      <c r="C4">
        <v>478.344271929385</v>
      </c>
      <c r="D4">
        <v>750.782222754447</v>
      </c>
      <c r="E4">
        <v>982.160058248467</v>
      </c>
      <c r="F4">
        <v>547.564177244859</v>
      </c>
      <c r="G4">
        <v>411.832042036401</v>
      </c>
      <c r="H4">
        <v>276.50837498669</v>
      </c>
      <c r="I4">
        <v>112.740877595543</v>
      </c>
      <c r="J4">
        <v>98.5303556505142</v>
      </c>
      <c r="K4">
        <v>153.330172550309</v>
      </c>
      <c r="L4">
        <v>332.972733716718</v>
      </c>
      <c r="M4">
        <v>809.126661815889</v>
      </c>
      <c r="N4">
        <v>1296.38291567175</v>
      </c>
      <c r="O4">
        <v>603.264900793452</v>
      </c>
      <c r="P4">
        <v>300.37806772622</v>
      </c>
      <c r="Q4">
        <v>295.025516979495</v>
      </c>
      <c r="R4">
        <v>165.406651960358</v>
      </c>
      <c r="S4">
        <v>133.362439918976</v>
      </c>
      <c r="T4">
        <v>93.4205762210197</v>
      </c>
      <c r="U4">
        <v>77.2797410234514</v>
      </c>
      <c r="V4">
        <v>65.1965990208648</v>
      </c>
      <c r="W4">
        <v>76.4580651165884</v>
      </c>
      <c r="X4">
        <v>927.863028927234</v>
      </c>
      <c r="Y4">
        <v>1553.45263754841</v>
      </c>
      <c r="AA4">
        <v>577777889.518164</v>
      </c>
      <c r="AB4">
        <v>693.155845255087</v>
      </c>
      <c r="AC4">
        <f>AVERAGE(B4:Y4)</f>
        <v>484.5760917158454</v>
      </c>
    </row>
    <row r="5" spans="1:29" ht="12.75">
      <c r="A5" t="s">
        <v>255</v>
      </c>
      <c r="B5">
        <v>1224.20062667591</v>
      </c>
      <c r="C5">
        <v>462.118419982304</v>
      </c>
      <c r="D5">
        <v>777.638940666878</v>
      </c>
      <c r="E5">
        <v>982.689630476441</v>
      </c>
      <c r="F5">
        <v>513.675806005036</v>
      </c>
      <c r="G5">
        <v>423.205179557858</v>
      </c>
      <c r="H5">
        <v>307.88425958863</v>
      </c>
      <c r="I5">
        <v>128.558048954279</v>
      </c>
      <c r="J5">
        <v>107.500201596183</v>
      </c>
      <c r="K5">
        <v>172.977541333517</v>
      </c>
      <c r="L5">
        <v>360.575549387457</v>
      </c>
      <c r="M5">
        <v>858.981455562242</v>
      </c>
      <c r="N5">
        <v>1301.53017313352</v>
      </c>
      <c r="O5">
        <v>628.913028069655</v>
      </c>
      <c r="P5">
        <v>325.628364492888</v>
      </c>
      <c r="Q5">
        <v>323.770421359059</v>
      </c>
      <c r="R5">
        <v>164.149142270266</v>
      </c>
      <c r="S5">
        <v>145.004248786926</v>
      </c>
      <c r="T5">
        <v>101.155525607358</v>
      </c>
      <c r="U5">
        <v>80.9327261771902</v>
      </c>
      <c r="V5">
        <v>65.4234296859209</v>
      </c>
      <c r="W5">
        <v>68.3166425628856</v>
      </c>
      <c r="X5">
        <v>787.003260039099</v>
      </c>
      <c r="Y5">
        <v>1557.8823149869</v>
      </c>
      <c r="AA5">
        <v>617553293.306035</v>
      </c>
      <c r="AB5">
        <v>732.157175186714</v>
      </c>
      <c r="AC5">
        <f>AVERAGE(B5:Y5)</f>
        <v>494.57145570660026</v>
      </c>
    </row>
    <row r="6" spans="1:29" ht="12.75">
      <c r="A6" t="s">
        <v>256</v>
      </c>
      <c r="B6">
        <v>2828.30483089251</v>
      </c>
      <c r="C6">
        <v>1194.78989299131</v>
      </c>
      <c r="D6">
        <v>1543.42968893116</v>
      </c>
      <c r="E6">
        <v>2315.40980012784</v>
      </c>
      <c r="F6">
        <v>2620.43098079761</v>
      </c>
      <c r="G6">
        <v>1366.24060332017</v>
      </c>
      <c r="H6">
        <v>830.748915646008</v>
      </c>
      <c r="I6">
        <v>526.038949923481</v>
      </c>
      <c r="J6">
        <v>396.34950095937</v>
      </c>
      <c r="K6">
        <v>761.034538086137</v>
      </c>
      <c r="L6">
        <v>1618.05703287246</v>
      </c>
      <c r="M6">
        <v>4602.45606930566</v>
      </c>
      <c r="N6">
        <v>6567.79098495712</v>
      </c>
      <c r="O6">
        <v>3037.42332202757</v>
      </c>
      <c r="P6">
        <v>2137.91616644989</v>
      </c>
      <c r="Q6">
        <v>2071.86843693964</v>
      </c>
      <c r="R6">
        <v>2743.76812172638</v>
      </c>
      <c r="S6">
        <v>2522.06194264892</v>
      </c>
      <c r="T6">
        <v>1177.62170993758</v>
      </c>
      <c r="U6">
        <v>492.979850814968</v>
      </c>
      <c r="V6">
        <v>334.060013655912</v>
      </c>
      <c r="W6">
        <v>344.05351837367</v>
      </c>
      <c r="X6">
        <v>3978.84876886738</v>
      </c>
      <c r="Y6">
        <v>1748.73982821272</v>
      </c>
      <c r="AA6">
        <v>984940382.1758</v>
      </c>
      <c r="AB6">
        <v>2454.15432310408</v>
      </c>
      <c r="AC6">
        <f>AVERAGE(B6:Y6)</f>
        <v>1990.0176445193947</v>
      </c>
    </row>
    <row r="7" spans="1:27" ht="12.75">
      <c r="A7" t="s">
        <v>253</v>
      </c>
      <c r="B7">
        <v>1171.47849462365</v>
      </c>
      <c r="C7">
        <v>297.559523809523</v>
      </c>
      <c r="D7">
        <v>222.537878787878</v>
      </c>
      <c r="E7">
        <v>780.708333333333</v>
      </c>
      <c r="F7">
        <v>647.217741935483</v>
      </c>
      <c r="G7">
        <v>276.305555555555</v>
      </c>
      <c r="H7">
        <v>122.002688172043</v>
      </c>
      <c r="I7">
        <v>140.362903225806</v>
      </c>
      <c r="J7">
        <v>721.083333333333</v>
      </c>
      <c r="K7">
        <v>781.774193548387</v>
      </c>
      <c r="L7">
        <v>1057.97222222222</v>
      </c>
      <c r="M7">
        <v>1320.52419354838</v>
      </c>
      <c r="N7">
        <v>2179.46236559139</v>
      </c>
      <c r="O7">
        <v>1374.46428571428</v>
      </c>
      <c r="P7">
        <v>1081.71432062561</v>
      </c>
      <c r="Q7">
        <v>434.222222222222</v>
      </c>
      <c r="R7">
        <v>73.7365591397849</v>
      </c>
      <c r="S7">
        <v>411.986111111111</v>
      </c>
      <c r="T7">
        <v>283.010752688172</v>
      </c>
      <c r="U7">
        <v>106.189170303979</v>
      </c>
      <c r="V7">
        <v>71.4110804701318</v>
      </c>
      <c r="W7">
        <v>63.3080001741994</v>
      </c>
      <c r="X7">
        <v>1025.11687930755</v>
      </c>
      <c r="Y7">
        <v>1792.6884417271</v>
      </c>
      <c r="AA7">
        <v>253521000</v>
      </c>
    </row>
    <row r="8" spans="1:29" ht="12.75">
      <c r="A8" t="s">
        <v>149</v>
      </c>
      <c r="B8">
        <v>2204.01091982668</v>
      </c>
      <c r="C8">
        <v>666.291425760743</v>
      </c>
      <c r="D8">
        <v>1137.54833406448</v>
      </c>
      <c r="E8">
        <v>1599.05278091234</v>
      </c>
      <c r="F8">
        <v>967.758503288335</v>
      </c>
      <c r="G8">
        <v>418.433016730798</v>
      </c>
      <c r="H8">
        <v>311.277108106095</v>
      </c>
      <c r="I8">
        <v>221.897056283672</v>
      </c>
      <c r="J8">
        <v>195.164359751588</v>
      </c>
      <c r="K8">
        <v>500.091514873988</v>
      </c>
      <c r="L8">
        <v>1227.16251656223</v>
      </c>
      <c r="M8">
        <v>4057.24832820228</v>
      </c>
      <c r="N8">
        <v>7113.83517471791</v>
      </c>
      <c r="O8">
        <v>2264.57324514438</v>
      </c>
      <c r="P8">
        <v>1214.00623665846</v>
      </c>
      <c r="Q8">
        <v>1045.70894004593</v>
      </c>
      <c r="R8">
        <v>699.097713466782</v>
      </c>
      <c r="S8">
        <v>573.20622280854</v>
      </c>
      <c r="T8">
        <v>287.510628824393</v>
      </c>
      <c r="U8">
        <v>212.738719687209</v>
      </c>
      <c r="V8">
        <v>186.006971469964</v>
      </c>
      <c r="W8">
        <v>167.256640390873</v>
      </c>
      <c r="X8">
        <v>5175.05646087573</v>
      </c>
      <c r="Y8">
        <v>3452.03349329787</v>
      </c>
      <c r="AA8">
        <v>334707435</v>
      </c>
      <c r="AB8">
        <f>SUM(AB2:AB6)</f>
        <v>5980.073042529068</v>
      </c>
      <c r="AC8">
        <f>SUM(AC2:AC6)</f>
        <v>5149.74034039694</v>
      </c>
    </row>
    <row r="9" spans="1:27" ht="12.75">
      <c r="A9" t="s">
        <v>254</v>
      </c>
      <c r="B9">
        <v>1088.44311174325</v>
      </c>
      <c r="C9">
        <v>478.344271929385</v>
      </c>
      <c r="D9">
        <v>750.782222754447</v>
      </c>
      <c r="E9">
        <v>982.160058248467</v>
      </c>
      <c r="F9">
        <v>547.564177244859</v>
      </c>
      <c r="G9">
        <v>411.832042036401</v>
      </c>
      <c r="H9">
        <v>276.50837498669</v>
      </c>
      <c r="I9">
        <v>112.740877595543</v>
      </c>
      <c r="J9">
        <v>98.5303556505142</v>
      </c>
      <c r="K9">
        <v>153.330172550309</v>
      </c>
      <c r="L9">
        <v>332.972733716718</v>
      </c>
      <c r="M9">
        <v>809.126661815889</v>
      </c>
      <c r="N9">
        <v>1296.38291567175</v>
      </c>
      <c r="O9">
        <v>603.264900793452</v>
      </c>
      <c r="P9">
        <v>300.37806772622</v>
      </c>
      <c r="Q9">
        <v>295.025516979495</v>
      </c>
      <c r="R9">
        <v>165.406651960358</v>
      </c>
      <c r="S9">
        <v>133.362439918976</v>
      </c>
      <c r="T9">
        <v>93.4205762210197</v>
      </c>
      <c r="U9">
        <v>77.2797410234514</v>
      </c>
      <c r="V9">
        <v>65.1965990208648</v>
      </c>
      <c r="W9">
        <v>76.4580651165884</v>
      </c>
      <c r="X9">
        <v>927.863028927234</v>
      </c>
      <c r="Y9">
        <v>1553.45263754841</v>
      </c>
      <c r="AA9">
        <v>577777889.518164</v>
      </c>
    </row>
    <row r="10" spans="1:27" ht="12.75">
      <c r="A10" t="s">
        <v>255</v>
      </c>
      <c r="B10">
        <v>1224.20062667591</v>
      </c>
      <c r="C10">
        <v>462.118419982304</v>
      </c>
      <c r="D10">
        <v>777.638940666878</v>
      </c>
      <c r="E10">
        <v>982.689630476441</v>
      </c>
      <c r="F10">
        <v>513.675806005036</v>
      </c>
      <c r="G10">
        <v>423.205179557858</v>
      </c>
      <c r="H10">
        <v>307.88425958863</v>
      </c>
      <c r="I10">
        <v>128.558048954279</v>
      </c>
      <c r="J10">
        <v>107.500201596183</v>
      </c>
      <c r="K10">
        <v>172.977541333517</v>
      </c>
      <c r="L10">
        <v>360.575549387457</v>
      </c>
      <c r="M10">
        <v>858.981455562242</v>
      </c>
      <c r="N10">
        <v>1301.53017313352</v>
      </c>
      <c r="O10">
        <v>628.913028069655</v>
      </c>
      <c r="P10">
        <v>325.628364492888</v>
      </c>
      <c r="Q10">
        <v>323.770421359059</v>
      </c>
      <c r="R10">
        <v>164.149142270266</v>
      </c>
      <c r="S10">
        <v>145.004248786926</v>
      </c>
      <c r="T10">
        <v>101.155525607358</v>
      </c>
      <c r="U10">
        <v>80.9327261771902</v>
      </c>
      <c r="V10">
        <v>65.4234296859209</v>
      </c>
      <c r="W10">
        <v>68.3166425628856</v>
      </c>
      <c r="X10">
        <v>787.003260039099</v>
      </c>
      <c r="Y10">
        <v>1557.8823149869</v>
      </c>
      <c r="AA10">
        <v>617553293.306035</v>
      </c>
    </row>
    <row r="11" spans="1:31" ht="12.75">
      <c r="A11" t="s">
        <v>256</v>
      </c>
      <c r="B11">
        <v>2828.30483089251</v>
      </c>
      <c r="C11">
        <v>1194.78989299131</v>
      </c>
      <c r="D11">
        <v>1543.42968893116</v>
      </c>
      <c r="E11">
        <v>2315.40980012784</v>
      </c>
      <c r="F11">
        <v>2620.43098079761</v>
      </c>
      <c r="G11">
        <v>1366.24060332017</v>
      </c>
      <c r="H11">
        <v>830.748915646008</v>
      </c>
      <c r="I11">
        <v>526.038949923481</v>
      </c>
      <c r="J11">
        <v>396.34950095937</v>
      </c>
      <c r="K11">
        <v>761.034538086137</v>
      </c>
      <c r="L11">
        <v>1618.05703287246</v>
      </c>
      <c r="M11">
        <v>4602.45606930566</v>
      </c>
      <c r="N11">
        <v>6567.79098495712</v>
      </c>
      <c r="O11">
        <v>3037.42332202757</v>
      </c>
      <c r="P11">
        <v>2137.91616644989</v>
      </c>
      <c r="Q11">
        <v>2071.86843693964</v>
      </c>
      <c r="R11">
        <v>2743.76812172638</v>
      </c>
      <c r="S11">
        <v>2522.06194264892</v>
      </c>
      <c r="T11">
        <v>1177.62170993758</v>
      </c>
      <c r="U11">
        <v>492.979850814968</v>
      </c>
      <c r="V11">
        <v>334.060013655912</v>
      </c>
      <c r="W11">
        <v>344.05351837367</v>
      </c>
      <c r="X11">
        <v>3978.84876886738</v>
      </c>
      <c r="Y11">
        <v>1748.73982821272</v>
      </c>
      <c r="AA11">
        <v>984940382.1758</v>
      </c>
      <c r="AB11">
        <f>1-SUM(AB2:AB3,AB6)/AB8</f>
        <v>0.23834374769426125</v>
      </c>
      <c r="AE11">
        <f>1-AA5/SUM(AA2:AA6)</f>
        <v>0.7769357799147425</v>
      </c>
    </row>
    <row r="12" spans="1:31" ht="12.75">
      <c r="A12" t="s">
        <v>253</v>
      </c>
      <c r="B12">
        <v>1171.47849462365</v>
      </c>
      <c r="C12">
        <v>297.559523809523</v>
      </c>
      <c r="D12">
        <v>222.537878787878</v>
      </c>
      <c r="E12">
        <v>780.708333333333</v>
      </c>
      <c r="F12">
        <v>647.217741935483</v>
      </c>
      <c r="G12">
        <v>276.305555555555</v>
      </c>
      <c r="H12">
        <v>122.002688172043</v>
      </c>
      <c r="I12">
        <v>140.362903225806</v>
      </c>
      <c r="J12">
        <v>721.083333333333</v>
      </c>
      <c r="K12">
        <v>781.774193548387</v>
      </c>
      <c r="L12">
        <v>1057.97222222222</v>
      </c>
      <c r="M12">
        <v>1320.52419354838</v>
      </c>
      <c r="N12">
        <v>2179.46236559139</v>
      </c>
      <c r="O12">
        <v>1374.46428571428</v>
      </c>
      <c r="P12">
        <v>1081.71432062561</v>
      </c>
      <c r="Q12">
        <v>434.222222222222</v>
      </c>
      <c r="R12">
        <v>73.7365591397849</v>
      </c>
      <c r="S12">
        <v>411.986111111111</v>
      </c>
      <c r="T12">
        <v>283.010752688172</v>
      </c>
      <c r="U12">
        <v>106.189170303979</v>
      </c>
      <c r="V12">
        <v>71.4110804701318</v>
      </c>
      <c r="W12">
        <v>63.3080001741994</v>
      </c>
      <c r="X12">
        <v>1025.11687930755</v>
      </c>
      <c r="Y12">
        <v>1792.6884417271</v>
      </c>
      <c r="AA12">
        <v>253521000</v>
      </c>
      <c r="AE12">
        <f>(AE11*SUM(AA2:AA6))/1000000</f>
        <v>2150.946706693964</v>
      </c>
    </row>
    <row r="13" spans="1:28" ht="12.75">
      <c r="A13" t="s">
        <v>149</v>
      </c>
      <c r="B13">
        <v>2204.01091982668</v>
      </c>
      <c r="C13">
        <v>666.291425760743</v>
      </c>
      <c r="D13">
        <v>1137.54833406448</v>
      </c>
      <c r="E13">
        <v>1599.05278091234</v>
      </c>
      <c r="F13">
        <v>967.758503288335</v>
      </c>
      <c r="G13">
        <v>418.433016730798</v>
      </c>
      <c r="H13">
        <v>311.277108106095</v>
      </c>
      <c r="I13">
        <v>221.897056283672</v>
      </c>
      <c r="J13">
        <v>195.164359751588</v>
      </c>
      <c r="K13">
        <v>500.091514873988</v>
      </c>
      <c r="L13">
        <v>1227.16251656223</v>
      </c>
      <c r="M13">
        <v>4057.24832820228</v>
      </c>
      <c r="N13">
        <v>7113.83517471791</v>
      </c>
      <c r="O13">
        <v>2264.57324514438</v>
      </c>
      <c r="P13">
        <v>1214.00623665846</v>
      </c>
      <c r="Q13">
        <v>1045.70894004593</v>
      </c>
      <c r="R13">
        <v>699.097713466782</v>
      </c>
      <c r="S13">
        <v>573.20622280854</v>
      </c>
      <c r="T13">
        <v>287.510628824393</v>
      </c>
      <c r="U13">
        <v>212.738719687209</v>
      </c>
      <c r="V13">
        <v>186.006971469964</v>
      </c>
      <c r="W13">
        <v>167.256640390873</v>
      </c>
      <c r="X13">
        <v>5175.05646087573</v>
      </c>
      <c r="Y13">
        <v>3452.03349329787</v>
      </c>
      <c r="AA13">
        <v>334707435</v>
      </c>
      <c r="AB13">
        <f>((AB8/3.28^3)/SUM(AA2:AA6))*365.25*86400</f>
        <v>1.9317209805340658</v>
      </c>
    </row>
    <row r="14" spans="1:27" ht="12.75">
      <c r="A14" t="s">
        <v>254</v>
      </c>
      <c r="B14">
        <v>1088.44311174325</v>
      </c>
      <c r="C14">
        <v>478.344271929385</v>
      </c>
      <c r="D14">
        <v>750.782222754447</v>
      </c>
      <c r="E14">
        <v>982.160058248467</v>
      </c>
      <c r="F14">
        <v>547.564177244859</v>
      </c>
      <c r="G14">
        <v>411.832042036401</v>
      </c>
      <c r="H14">
        <v>276.50837498669</v>
      </c>
      <c r="I14">
        <v>112.740877595543</v>
      </c>
      <c r="J14">
        <v>98.5303556505142</v>
      </c>
      <c r="K14">
        <v>153.330172550309</v>
      </c>
      <c r="L14">
        <v>332.972733716718</v>
      </c>
      <c r="M14">
        <v>809.126661815889</v>
      </c>
      <c r="N14">
        <v>1296.38291567175</v>
      </c>
      <c r="O14">
        <v>603.264900793452</v>
      </c>
      <c r="P14">
        <v>300.37806772622</v>
      </c>
      <c r="Q14">
        <v>295.025516979495</v>
      </c>
      <c r="R14">
        <v>165.406651960358</v>
      </c>
      <c r="S14">
        <v>133.362439918976</v>
      </c>
      <c r="T14">
        <v>93.4205762210197</v>
      </c>
      <c r="U14">
        <v>77.2797410234514</v>
      </c>
      <c r="V14">
        <v>65.1965990208648</v>
      </c>
      <c r="W14">
        <v>76.4580651165884</v>
      </c>
      <c r="X14">
        <v>927.863028927234</v>
      </c>
      <c r="Y14">
        <v>1553.45263754841</v>
      </c>
      <c r="AA14">
        <v>577777889.518164</v>
      </c>
    </row>
    <row r="15" spans="1:33" ht="12.75">
      <c r="A15" t="s">
        <v>255</v>
      </c>
      <c r="B15">
        <v>1224.20062667591</v>
      </c>
      <c r="C15">
        <v>462.118419982304</v>
      </c>
      <c r="D15">
        <v>777.638940666878</v>
      </c>
      <c r="E15">
        <v>982.689630476441</v>
      </c>
      <c r="F15">
        <v>513.675806005036</v>
      </c>
      <c r="G15">
        <v>423.205179557858</v>
      </c>
      <c r="H15">
        <v>307.88425958863</v>
      </c>
      <c r="I15">
        <v>128.558048954279</v>
      </c>
      <c r="J15">
        <v>107.500201596183</v>
      </c>
      <c r="K15">
        <v>172.977541333517</v>
      </c>
      <c r="L15">
        <v>360.575549387457</v>
      </c>
      <c r="M15">
        <v>858.981455562242</v>
      </c>
      <c r="N15">
        <v>1301.53017313352</v>
      </c>
      <c r="O15">
        <v>628.913028069655</v>
      </c>
      <c r="P15">
        <v>325.628364492888</v>
      </c>
      <c r="Q15">
        <v>323.770421359059</v>
      </c>
      <c r="R15">
        <v>164.149142270266</v>
      </c>
      <c r="S15">
        <v>145.004248786926</v>
      </c>
      <c r="T15">
        <v>101.155525607358</v>
      </c>
      <c r="U15">
        <v>80.9327261771902</v>
      </c>
      <c r="V15">
        <v>65.4234296859209</v>
      </c>
      <c r="W15">
        <v>68.3166425628856</v>
      </c>
      <c r="X15">
        <v>787.003260039099</v>
      </c>
      <c r="Y15">
        <v>1557.8823149869</v>
      </c>
      <c r="AA15">
        <v>617553293.306035</v>
      </c>
      <c r="AG15">
        <f>4050/3.28</f>
        <v>1234.7560975609756</v>
      </c>
    </row>
    <row r="16" spans="1:27" ht="12.75">
      <c r="A16" t="s">
        <v>256</v>
      </c>
      <c r="B16">
        <v>2828.30483089251</v>
      </c>
      <c r="C16">
        <v>1194.78989299131</v>
      </c>
      <c r="D16">
        <v>1543.42968893116</v>
      </c>
      <c r="E16">
        <v>2315.40980012784</v>
      </c>
      <c r="F16">
        <v>2620.43098079761</v>
      </c>
      <c r="G16">
        <v>1366.24060332017</v>
      </c>
      <c r="H16">
        <v>830.748915646008</v>
      </c>
      <c r="I16">
        <v>526.038949923481</v>
      </c>
      <c r="J16">
        <v>396.34950095937</v>
      </c>
      <c r="K16">
        <v>761.034538086137</v>
      </c>
      <c r="L16">
        <v>1618.05703287246</v>
      </c>
      <c r="M16">
        <v>4602.45606930566</v>
      </c>
      <c r="N16">
        <v>6567.79098495712</v>
      </c>
      <c r="O16">
        <v>3037.42332202757</v>
      </c>
      <c r="P16">
        <v>2137.91616644989</v>
      </c>
      <c r="Q16">
        <v>2071.86843693964</v>
      </c>
      <c r="R16">
        <v>2743.76812172638</v>
      </c>
      <c r="S16">
        <v>2522.06194264892</v>
      </c>
      <c r="T16">
        <v>1177.62170993758</v>
      </c>
      <c r="U16">
        <v>492.979850814968</v>
      </c>
      <c r="V16">
        <v>334.060013655912</v>
      </c>
      <c r="W16">
        <v>344.05351837367</v>
      </c>
      <c r="X16">
        <v>3978.84876886738</v>
      </c>
      <c r="Y16">
        <v>1748.73982821272</v>
      </c>
      <c r="AA16">
        <v>984940382.1758</v>
      </c>
    </row>
    <row r="17" spans="1:30" ht="12.75">
      <c r="A17" t="s">
        <v>253</v>
      </c>
      <c r="B17">
        <v>1171.47849462365</v>
      </c>
      <c r="C17">
        <v>297.559523809523</v>
      </c>
      <c r="D17">
        <v>222.537878787878</v>
      </c>
      <c r="E17">
        <v>780.708333333333</v>
      </c>
      <c r="F17">
        <v>647.217741935483</v>
      </c>
      <c r="G17">
        <v>276.305555555555</v>
      </c>
      <c r="H17">
        <v>122.002688172043</v>
      </c>
      <c r="I17">
        <v>140.362903225806</v>
      </c>
      <c r="J17">
        <v>721.083333333333</v>
      </c>
      <c r="K17">
        <v>781.774193548387</v>
      </c>
      <c r="L17">
        <v>1057.97222222222</v>
      </c>
      <c r="M17">
        <v>1320.52419354838</v>
      </c>
      <c r="N17">
        <v>2179.46236559139</v>
      </c>
      <c r="O17">
        <v>1374.46428571428</v>
      </c>
      <c r="P17">
        <v>1081.71432062561</v>
      </c>
      <c r="Q17">
        <v>434.222222222222</v>
      </c>
      <c r="R17">
        <v>73.7365591397849</v>
      </c>
      <c r="S17">
        <v>411.986111111111</v>
      </c>
      <c r="T17">
        <v>283.010752688172</v>
      </c>
      <c r="U17">
        <v>106.189170303979</v>
      </c>
      <c r="V17">
        <v>71.4110804701318</v>
      </c>
      <c r="W17">
        <v>63.3080001741994</v>
      </c>
      <c r="X17">
        <v>1025.11687930755</v>
      </c>
      <c r="Y17">
        <v>1792.6884417271</v>
      </c>
      <c r="AA17">
        <v>253521000</v>
      </c>
      <c r="AD17">
        <f>(AA4+AA5)/1000000</f>
        <v>1195.3311828241992</v>
      </c>
    </row>
    <row r="18" spans="1:30" ht="12.75">
      <c r="A18" t="s">
        <v>149</v>
      </c>
      <c r="B18">
        <v>2204.01091982668</v>
      </c>
      <c r="C18">
        <v>666.291425760743</v>
      </c>
      <c r="D18">
        <v>1137.54833406448</v>
      </c>
      <c r="E18">
        <v>1599.05278091234</v>
      </c>
      <c r="F18">
        <v>967.758503288335</v>
      </c>
      <c r="G18">
        <v>418.433016730798</v>
      </c>
      <c r="H18">
        <v>311.277108106095</v>
      </c>
      <c r="I18">
        <v>221.897056283672</v>
      </c>
      <c r="J18">
        <v>195.164359751588</v>
      </c>
      <c r="K18">
        <v>500.091514873988</v>
      </c>
      <c r="L18">
        <v>1227.16251656223</v>
      </c>
      <c r="M18">
        <v>4057.24832820228</v>
      </c>
      <c r="N18">
        <v>7113.83517471791</v>
      </c>
      <c r="O18">
        <v>2264.57324514438</v>
      </c>
      <c r="P18">
        <v>1214.00623665846</v>
      </c>
      <c r="Q18">
        <v>1045.70894004593</v>
      </c>
      <c r="R18">
        <v>699.097713466782</v>
      </c>
      <c r="S18">
        <v>573.20622280854</v>
      </c>
      <c r="T18">
        <v>287.510628824393</v>
      </c>
      <c r="U18">
        <v>212.738719687209</v>
      </c>
      <c r="V18">
        <v>186.006971469964</v>
      </c>
      <c r="W18">
        <v>167.256640390873</v>
      </c>
      <c r="X18">
        <v>5175.05646087573</v>
      </c>
      <c r="Y18">
        <v>3452.03349329787</v>
      </c>
      <c r="AA18">
        <v>334707435</v>
      </c>
      <c r="AD18">
        <f>AD17-253</f>
        <v>942.3311828241992</v>
      </c>
    </row>
    <row r="19" spans="1:27" ht="12.75">
      <c r="A19" t="s">
        <v>254</v>
      </c>
      <c r="B19">
        <v>1088.44311174325</v>
      </c>
      <c r="C19">
        <v>478.344271929385</v>
      </c>
      <c r="D19">
        <v>750.782222754447</v>
      </c>
      <c r="E19">
        <v>982.160058248467</v>
      </c>
      <c r="F19">
        <v>547.564177244859</v>
      </c>
      <c r="G19">
        <v>411.832042036401</v>
      </c>
      <c r="H19">
        <v>276.50837498669</v>
      </c>
      <c r="I19">
        <v>112.740877595543</v>
      </c>
      <c r="J19">
        <v>98.5303556505142</v>
      </c>
      <c r="K19">
        <v>153.330172550309</v>
      </c>
      <c r="L19">
        <v>332.972733716718</v>
      </c>
      <c r="M19">
        <v>809.126661815889</v>
      </c>
      <c r="N19">
        <v>1296.38291567175</v>
      </c>
      <c r="O19">
        <v>603.264900793452</v>
      </c>
      <c r="P19">
        <v>300.37806772622</v>
      </c>
      <c r="Q19">
        <v>295.025516979495</v>
      </c>
      <c r="R19">
        <v>165.406651960358</v>
      </c>
      <c r="S19">
        <v>133.362439918976</v>
      </c>
      <c r="T19">
        <v>93.4205762210197</v>
      </c>
      <c r="U19">
        <v>77.2797410234514</v>
      </c>
      <c r="V19">
        <v>65.1965990208648</v>
      </c>
      <c r="W19">
        <v>76.4580651165884</v>
      </c>
      <c r="X19">
        <v>927.863028927234</v>
      </c>
      <c r="Y19">
        <v>1553.45263754841</v>
      </c>
      <c r="AA19">
        <v>577777889.518164</v>
      </c>
    </row>
    <row r="20" spans="1:32" ht="12.75">
      <c r="A20" t="s">
        <v>255</v>
      </c>
      <c r="B20">
        <v>1224.20062667591</v>
      </c>
      <c r="C20">
        <v>462.118419982304</v>
      </c>
      <c r="D20">
        <v>777.638940666878</v>
      </c>
      <c r="E20">
        <v>982.689630476441</v>
      </c>
      <c r="F20">
        <v>513.675806005036</v>
      </c>
      <c r="G20">
        <v>423.205179557858</v>
      </c>
      <c r="H20">
        <v>307.88425958863</v>
      </c>
      <c r="I20">
        <v>128.558048954279</v>
      </c>
      <c r="J20">
        <v>107.500201596183</v>
      </c>
      <c r="K20">
        <v>172.977541333517</v>
      </c>
      <c r="L20">
        <v>360.575549387457</v>
      </c>
      <c r="M20">
        <v>858.981455562242</v>
      </c>
      <c r="N20">
        <v>1301.53017313352</v>
      </c>
      <c r="O20">
        <v>628.913028069655</v>
      </c>
      <c r="P20">
        <v>325.628364492888</v>
      </c>
      <c r="Q20">
        <v>323.770421359059</v>
      </c>
      <c r="R20">
        <v>164.149142270266</v>
      </c>
      <c r="S20">
        <v>145.004248786926</v>
      </c>
      <c r="T20">
        <v>101.155525607358</v>
      </c>
      <c r="U20">
        <v>80.9327261771902</v>
      </c>
      <c r="V20">
        <v>65.4234296859209</v>
      </c>
      <c r="W20">
        <v>68.3166425628856</v>
      </c>
      <c r="X20">
        <v>787.003260039099</v>
      </c>
      <c r="Y20">
        <v>1557.8823149869</v>
      </c>
      <c r="AA20">
        <v>617553293.306035</v>
      </c>
      <c r="AE20" t="str">
        <f>A2</f>
        <v>'Diversion from N Fork Skokomish'</v>
      </c>
      <c r="AF20">
        <f>AB2/3.28^3</f>
        <v>21.9295639848085</v>
      </c>
    </row>
    <row r="21" spans="1:33" ht="12.75">
      <c r="A21" t="s">
        <v>256</v>
      </c>
      <c r="B21">
        <v>2828.30483089251</v>
      </c>
      <c r="C21">
        <v>1194.78989299131</v>
      </c>
      <c r="D21">
        <v>1543.42968893116</v>
      </c>
      <c r="E21">
        <v>2315.40980012784</v>
      </c>
      <c r="F21">
        <v>2620.43098079761</v>
      </c>
      <c r="G21">
        <v>1366.24060332017</v>
      </c>
      <c r="H21">
        <v>830.748915646008</v>
      </c>
      <c r="I21">
        <v>526.038949923481</v>
      </c>
      <c r="J21">
        <v>396.34950095937</v>
      </c>
      <c r="K21">
        <v>761.034538086137</v>
      </c>
      <c r="L21">
        <v>1618.05703287246</v>
      </c>
      <c r="M21">
        <v>4602.45606930566</v>
      </c>
      <c r="N21">
        <v>6567.79098495712</v>
      </c>
      <c r="O21">
        <v>3037.42332202757</v>
      </c>
      <c r="P21">
        <v>2137.91616644989</v>
      </c>
      <c r="Q21">
        <v>2071.86843693964</v>
      </c>
      <c r="R21">
        <v>2743.76812172638</v>
      </c>
      <c r="S21">
        <v>2522.06194264892</v>
      </c>
      <c r="T21">
        <v>1177.62170993758</v>
      </c>
      <c r="U21">
        <v>492.979850814968</v>
      </c>
      <c r="V21">
        <v>334.060013655912</v>
      </c>
      <c r="W21">
        <v>344.05351837367</v>
      </c>
      <c r="X21">
        <v>3978.84876886738</v>
      </c>
      <c r="Y21">
        <v>1748.73982821272</v>
      </c>
      <c r="AA21">
        <v>984940382.1758</v>
      </c>
      <c r="AE21" t="str">
        <f>A3</f>
        <v>'Skokomish River'</v>
      </c>
      <c r="AF21">
        <f>AB3/3.28^3</f>
        <v>37.59867132556915</v>
      </c>
      <c r="AG21">
        <f>AF20+AF21</f>
        <v>59.52823531037765</v>
      </c>
    </row>
    <row r="22" spans="1:32" ht="12.75">
      <c r="A22" t="s">
        <v>253</v>
      </c>
      <c r="B22">
        <v>1171.47849462365</v>
      </c>
      <c r="C22">
        <v>297.559523809523</v>
      </c>
      <c r="D22">
        <v>222.537878787878</v>
      </c>
      <c r="E22">
        <v>780.708333333333</v>
      </c>
      <c r="F22">
        <v>647.217741935483</v>
      </c>
      <c r="G22">
        <v>276.305555555555</v>
      </c>
      <c r="H22">
        <v>122.002688172043</v>
      </c>
      <c r="I22">
        <v>140.362903225806</v>
      </c>
      <c r="J22">
        <v>721.083333333333</v>
      </c>
      <c r="K22">
        <v>781.774193548387</v>
      </c>
      <c r="L22">
        <v>1057.97222222222</v>
      </c>
      <c r="M22">
        <v>1320.52419354838</v>
      </c>
      <c r="N22">
        <v>2179.46236559139</v>
      </c>
      <c r="O22">
        <v>1374.46428571428</v>
      </c>
      <c r="P22">
        <v>1081.71432062561</v>
      </c>
      <c r="Q22">
        <v>434.222222222222</v>
      </c>
      <c r="R22">
        <v>73.7365591397849</v>
      </c>
      <c r="S22">
        <v>411.986111111111</v>
      </c>
      <c r="T22">
        <v>283.010752688172</v>
      </c>
      <c r="U22">
        <v>106.189170303979</v>
      </c>
      <c r="V22">
        <v>71.4110804701318</v>
      </c>
      <c r="W22">
        <v>63.3080001741994</v>
      </c>
      <c r="X22">
        <v>1025.11687930755</v>
      </c>
      <c r="Y22">
        <v>1792.6884417271</v>
      </c>
      <c r="AA22">
        <v>253521000</v>
      </c>
      <c r="AE22" t="str">
        <f>A4</f>
        <v>'Sampled Kitsap/Lowland Watersheds'</v>
      </c>
      <c r="AF22">
        <f>AB4/3.28^3</f>
        <v>19.64306975034956</v>
      </c>
    </row>
    <row r="23" spans="1:32" ht="12.75">
      <c r="A23" t="s">
        <v>149</v>
      </c>
      <c r="B23">
        <v>2204.01091982668</v>
      </c>
      <c r="C23">
        <v>666.291425760743</v>
      </c>
      <c r="D23">
        <v>1137.54833406448</v>
      </c>
      <c r="E23">
        <v>1599.05278091234</v>
      </c>
      <c r="F23">
        <v>967.758503288335</v>
      </c>
      <c r="G23">
        <v>418.433016730798</v>
      </c>
      <c r="H23">
        <v>311.277108106095</v>
      </c>
      <c r="I23">
        <v>221.897056283672</v>
      </c>
      <c r="J23">
        <v>195.164359751588</v>
      </c>
      <c r="K23">
        <v>500.091514873988</v>
      </c>
      <c r="L23">
        <v>1227.16251656223</v>
      </c>
      <c r="M23">
        <v>4057.24832820228</v>
      </c>
      <c r="N23">
        <v>7113.83517471791</v>
      </c>
      <c r="O23">
        <v>2264.57324514438</v>
      </c>
      <c r="P23">
        <v>1214.00623665846</v>
      </c>
      <c r="Q23">
        <v>1045.70894004593</v>
      </c>
      <c r="R23">
        <v>699.097713466782</v>
      </c>
      <c r="S23">
        <v>573.20622280854</v>
      </c>
      <c r="T23">
        <v>287.510628824393</v>
      </c>
      <c r="U23">
        <v>212.738719687209</v>
      </c>
      <c r="V23">
        <v>186.006971469964</v>
      </c>
      <c r="W23">
        <v>167.256640390873</v>
      </c>
      <c r="X23">
        <v>5175.05646087573</v>
      </c>
      <c r="Y23">
        <v>3452.03349329787</v>
      </c>
      <c r="AA23">
        <v>334707435</v>
      </c>
      <c r="AE23" t="str">
        <f>A5</f>
        <v>'Unsampled Kitsap/Lowland Watersheds'</v>
      </c>
      <c r="AF23">
        <f>AB5/3.28^3</f>
        <v>20.748313036470034</v>
      </c>
    </row>
    <row r="24" spans="1:32" ht="12.75">
      <c r="A24" t="s">
        <v>254</v>
      </c>
      <c r="B24">
        <v>1088.44311174325</v>
      </c>
      <c r="C24">
        <v>478.344271929385</v>
      </c>
      <c r="D24">
        <v>750.782222754447</v>
      </c>
      <c r="E24">
        <v>982.160058248467</v>
      </c>
      <c r="F24">
        <v>547.564177244859</v>
      </c>
      <c r="G24">
        <v>411.832042036401</v>
      </c>
      <c r="H24">
        <v>276.50837498669</v>
      </c>
      <c r="I24">
        <v>112.740877595543</v>
      </c>
      <c r="J24">
        <v>98.5303556505142</v>
      </c>
      <c r="K24">
        <v>153.330172550309</v>
      </c>
      <c r="L24">
        <v>332.972733716718</v>
      </c>
      <c r="M24">
        <v>809.126661815889</v>
      </c>
      <c r="N24">
        <v>1296.38291567175</v>
      </c>
      <c r="O24">
        <v>603.264900793452</v>
      </c>
      <c r="P24">
        <v>300.37806772622</v>
      </c>
      <c r="Q24">
        <v>295.025516979495</v>
      </c>
      <c r="R24">
        <v>165.406651960358</v>
      </c>
      <c r="S24">
        <v>133.362439918976</v>
      </c>
      <c r="T24">
        <v>93.4205762210197</v>
      </c>
      <c r="U24">
        <v>77.2797410234514</v>
      </c>
      <c r="V24">
        <v>65.1965990208648</v>
      </c>
      <c r="W24">
        <v>76.4580651165884</v>
      </c>
      <c r="X24">
        <v>927.863028927234</v>
      </c>
      <c r="Y24">
        <v>1553.45263754841</v>
      </c>
      <c r="AA24">
        <v>577777889.518164</v>
      </c>
      <c r="AE24" t="str">
        <f>A6</f>
        <v>'Other Olympic Mountain Rivers'</v>
      </c>
      <c r="AF24">
        <f>AB6/3.28^3</f>
        <v>69.54731014223034</v>
      </c>
    </row>
    <row r="25" spans="1:27" ht="12.75">
      <c r="A25" t="s">
        <v>255</v>
      </c>
      <c r="B25">
        <v>1224.20062667591</v>
      </c>
      <c r="C25">
        <v>462.118419982304</v>
      </c>
      <c r="D25">
        <v>777.638940666878</v>
      </c>
      <c r="E25">
        <v>982.689630476441</v>
      </c>
      <c r="F25">
        <v>513.675806005036</v>
      </c>
      <c r="G25">
        <v>423.205179557858</v>
      </c>
      <c r="H25">
        <v>307.88425958863</v>
      </c>
      <c r="I25">
        <v>128.558048954279</v>
      </c>
      <c r="J25">
        <v>107.500201596183</v>
      </c>
      <c r="K25">
        <v>172.977541333517</v>
      </c>
      <c r="L25">
        <v>360.575549387457</v>
      </c>
      <c r="M25">
        <v>858.981455562242</v>
      </c>
      <c r="N25">
        <v>1301.53017313352</v>
      </c>
      <c r="O25">
        <v>628.913028069655</v>
      </c>
      <c r="P25">
        <v>325.628364492888</v>
      </c>
      <c r="Q25">
        <v>323.770421359059</v>
      </c>
      <c r="R25">
        <v>164.149142270266</v>
      </c>
      <c r="S25">
        <v>145.004248786926</v>
      </c>
      <c r="T25">
        <v>101.155525607358</v>
      </c>
      <c r="U25">
        <v>80.9327261771902</v>
      </c>
      <c r="V25">
        <v>65.4234296859209</v>
      </c>
      <c r="W25">
        <v>68.3166425628856</v>
      </c>
      <c r="X25">
        <v>787.003260039099</v>
      </c>
      <c r="Y25">
        <v>1557.8823149869</v>
      </c>
      <c r="AA25">
        <v>617553293.306035</v>
      </c>
    </row>
    <row r="26" spans="1:32" ht="12.75">
      <c r="A26" t="s">
        <v>256</v>
      </c>
      <c r="B26">
        <v>2828.30483089251</v>
      </c>
      <c r="C26">
        <v>1194.78989299131</v>
      </c>
      <c r="D26">
        <v>1543.42968893116</v>
      </c>
      <c r="E26">
        <v>2315.40980012784</v>
      </c>
      <c r="F26">
        <v>2620.43098079761</v>
      </c>
      <c r="G26">
        <v>1366.24060332017</v>
      </c>
      <c r="H26">
        <v>830.748915646008</v>
      </c>
      <c r="I26">
        <v>526.038949923481</v>
      </c>
      <c r="J26">
        <v>396.34950095937</v>
      </c>
      <c r="K26">
        <v>761.034538086137</v>
      </c>
      <c r="L26">
        <v>1618.05703287246</v>
      </c>
      <c r="M26">
        <v>4602.45606930566</v>
      </c>
      <c r="N26">
        <v>6567.79098495712</v>
      </c>
      <c r="O26">
        <v>3037.42332202757</v>
      </c>
      <c r="P26">
        <v>2137.91616644989</v>
      </c>
      <c r="Q26">
        <v>2071.86843693964</v>
      </c>
      <c r="R26">
        <v>2743.76812172638</v>
      </c>
      <c r="S26">
        <v>2522.06194264892</v>
      </c>
      <c r="T26">
        <v>1177.62170993758</v>
      </c>
      <c r="U26">
        <v>492.979850814968</v>
      </c>
      <c r="V26">
        <v>334.060013655912</v>
      </c>
      <c r="W26">
        <v>344.05351837367</v>
      </c>
      <c r="X26">
        <v>3978.84876886738</v>
      </c>
      <c r="Y26">
        <v>1748.73982821272</v>
      </c>
      <c r="AA26">
        <v>984940382.1758</v>
      </c>
      <c r="AF26">
        <f>SUM(AF20:AF24)</f>
        <v>169.4669282394276</v>
      </c>
    </row>
    <row r="27" spans="1:27" ht="12.75">
      <c r="A27" t="s">
        <v>253</v>
      </c>
      <c r="B27">
        <v>1171.47849462365</v>
      </c>
      <c r="C27">
        <v>297.559523809523</v>
      </c>
      <c r="D27">
        <v>222.537878787878</v>
      </c>
      <c r="E27">
        <v>780.708333333333</v>
      </c>
      <c r="F27">
        <v>647.217741935483</v>
      </c>
      <c r="G27">
        <v>276.305555555555</v>
      </c>
      <c r="H27">
        <v>122.002688172043</v>
      </c>
      <c r="I27">
        <v>140.362903225806</v>
      </c>
      <c r="J27">
        <v>721.083333333333</v>
      </c>
      <c r="K27">
        <v>781.774193548387</v>
      </c>
      <c r="L27">
        <v>1057.97222222222</v>
      </c>
      <c r="M27">
        <v>1320.52419354838</v>
      </c>
      <c r="N27">
        <v>2179.46236559139</v>
      </c>
      <c r="O27">
        <v>1374.46428571428</v>
      </c>
      <c r="P27">
        <v>1081.71432062561</v>
      </c>
      <c r="Q27">
        <v>434.222222222222</v>
      </c>
      <c r="R27">
        <v>73.7365591397849</v>
      </c>
      <c r="S27">
        <v>411.986111111111</v>
      </c>
      <c r="T27">
        <v>283.010752688172</v>
      </c>
      <c r="U27">
        <v>106.189170303979</v>
      </c>
      <c r="V27">
        <v>71.4110804701318</v>
      </c>
      <c r="W27">
        <v>63.3080001741994</v>
      </c>
      <c r="X27">
        <v>1025.11687930755</v>
      </c>
      <c r="Y27">
        <v>1792.6884417271</v>
      </c>
      <c r="AA27">
        <v>253521000</v>
      </c>
    </row>
    <row r="28" spans="1:27" ht="12.75">
      <c r="A28" t="s">
        <v>149</v>
      </c>
      <c r="B28">
        <v>2204.01091982668</v>
      </c>
      <c r="C28">
        <v>666.291425760743</v>
      </c>
      <c r="D28">
        <v>1137.54833406448</v>
      </c>
      <c r="E28">
        <v>1599.05278091234</v>
      </c>
      <c r="F28">
        <v>967.758503288335</v>
      </c>
      <c r="G28">
        <v>418.433016730798</v>
      </c>
      <c r="H28">
        <v>311.277108106095</v>
      </c>
      <c r="I28">
        <v>221.897056283672</v>
      </c>
      <c r="J28">
        <v>195.164359751588</v>
      </c>
      <c r="K28">
        <v>500.091514873988</v>
      </c>
      <c r="L28">
        <v>1227.16251656223</v>
      </c>
      <c r="M28">
        <v>4057.24832820228</v>
      </c>
      <c r="N28">
        <v>7113.83517471791</v>
      </c>
      <c r="O28">
        <v>2264.57324514438</v>
      </c>
      <c r="P28">
        <v>1214.00623665846</v>
      </c>
      <c r="Q28">
        <v>1045.70894004593</v>
      </c>
      <c r="R28">
        <v>699.097713466782</v>
      </c>
      <c r="S28">
        <v>573.20622280854</v>
      </c>
      <c r="T28">
        <v>287.510628824393</v>
      </c>
      <c r="U28">
        <v>212.738719687209</v>
      </c>
      <c r="V28">
        <v>186.006971469964</v>
      </c>
      <c r="W28">
        <v>167.256640390873</v>
      </c>
      <c r="X28">
        <v>5175.05646087573</v>
      </c>
      <c r="Y28">
        <v>3452.03349329787</v>
      </c>
      <c r="AA28">
        <v>334707435</v>
      </c>
    </row>
    <row r="29" spans="1:27" ht="12.75">
      <c r="A29" t="s">
        <v>254</v>
      </c>
      <c r="B29">
        <v>1088.44311174325</v>
      </c>
      <c r="C29">
        <v>478.344271929385</v>
      </c>
      <c r="D29">
        <v>750.782222754447</v>
      </c>
      <c r="E29">
        <v>982.160058248467</v>
      </c>
      <c r="F29">
        <v>547.564177244859</v>
      </c>
      <c r="G29">
        <v>411.832042036401</v>
      </c>
      <c r="H29">
        <v>276.50837498669</v>
      </c>
      <c r="I29">
        <v>112.740877595543</v>
      </c>
      <c r="J29">
        <v>98.5303556505142</v>
      </c>
      <c r="K29">
        <v>153.330172550309</v>
      </c>
      <c r="L29">
        <v>332.972733716718</v>
      </c>
      <c r="M29">
        <v>809.126661815889</v>
      </c>
      <c r="N29">
        <v>1296.38291567175</v>
      </c>
      <c r="O29">
        <v>603.264900793452</v>
      </c>
      <c r="P29">
        <v>300.37806772622</v>
      </c>
      <c r="Q29">
        <v>295.025516979495</v>
      </c>
      <c r="R29">
        <v>165.406651960358</v>
      </c>
      <c r="S29">
        <v>133.362439918976</v>
      </c>
      <c r="T29">
        <v>93.4205762210197</v>
      </c>
      <c r="U29">
        <v>77.2797410234514</v>
      </c>
      <c r="V29">
        <v>65.1965990208648</v>
      </c>
      <c r="W29">
        <v>76.4580651165884</v>
      </c>
      <c r="X29">
        <v>927.863028927234</v>
      </c>
      <c r="Y29">
        <v>1553.45263754841</v>
      </c>
      <c r="AA29">
        <v>577777889.518164</v>
      </c>
    </row>
    <row r="30" spans="1:27" ht="12.75">
      <c r="A30" t="s">
        <v>255</v>
      </c>
      <c r="B30">
        <v>1224.20062667591</v>
      </c>
      <c r="C30">
        <v>462.118419982304</v>
      </c>
      <c r="D30">
        <v>777.638940666878</v>
      </c>
      <c r="E30">
        <v>982.689630476441</v>
      </c>
      <c r="F30">
        <v>513.675806005036</v>
      </c>
      <c r="G30">
        <v>423.205179557858</v>
      </c>
      <c r="H30">
        <v>307.88425958863</v>
      </c>
      <c r="I30">
        <v>128.558048954279</v>
      </c>
      <c r="J30">
        <v>107.500201596183</v>
      </c>
      <c r="K30">
        <v>172.977541333517</v>
      </c>
      <c r="L30">
        <v>360.575549387457</v>
      </c>
      <c r="M30">
        <v>858.981455562242</v>
      </c>
      <c r="N30">
        <v>1301.53017313352</v>
      </c>
      <c r="O30">
        <v>628.913028069655</v>
      </c>
      <c r="P30">
        <v>325.628364492888</v>
      </c>
      <c r="Q30">
        <v>323.770421359059</v>
      </c>
      <c r="R30">
        <v>164.149142270266</v>
      </c>
      <c r="S30">
        <v>145.004248786926</v>
      </c>
      <c r="T30">
        <v>101.155525607358</v>
      </c>
      <c r="U30">
        <v>80.9327261771902</v>
      </c>
      <c r="V30">
        <v>65.4234296859209</v>
      </c>
      <c r="W30">
        <v>68.3166425628856</v>
      </c>
      <c r="X30">
        <v>787.003260039099</v>
      </c>
      <c r="Y30">
        <v>1557.8823149869</v>
      </c>
      <c r="AA30">
        <v>617553293.306035</v>
      </c>
    </row>
    <row r="31" spans="1:27" ht="12.75">
      <c r="A31" t="s">
        <v>256</v>
      </c>
      <c r="B31">
        <v>2828.30483089251</v>
      </c>
      <c r="C31">
        <v>1194.78989299131</v>
      </c>
      <c r="D31">
        <v>1543.42968893116</v>
      </c>
      <c r="E31">
        <v>2315.40980012784</v>
      </c>
      <c r="F31">
        <v>2620.43098079761</v>
      </c>
      <c r="G31">
        <v>1366.24060332017</v>
      </c>
      <c r="H31">
        <v>830.748915646008</v>
      </c>
      <c r="I31">
        <v>526.038949923481</v>
      </c>
      <c r="J31">
        <v>396.34950095937</v>
      </c>
      <c r="K31">
        <v>761.034538086137</v>
      </c>
      <c r="L31">
        <v>1618.05703287246</v>
      </c>
      <c r="M31">
        <v>4602.45606930566</v>
      </c>
      <c r="N31">
        <v>6567.79098495712</v>
      </c>
      <c r="O31">
        <v>3037.42332202757</v>
      </c>
      <c r="P31">
        <v>2137.91616644989</v>
      </c>
      <c r="Q31">
        <v>2071.86843693964</v>
      </c>
      <c r="R31">
        <v>2743.76812172638</v>
      </c>
      <c r="S31">
        <v>2522.06194264892</v>
      </c>
      <c r="T31">
        <v>1177.62170993758</v>
      </c>
      <c r="U31">
        <v>492.979850814968</v>
      </c>
      <c r="V31">
        <v>334.060013655912</v>
      </c>
      <c r="W31">
        <v>344.05351837367</v>
      </c>
      <c r="X31">
        <v>3978.84876886738</v>
      </c>
      <c r="Y31">
        <v>1748.73982821272</v>
      </c>
      <c r="AA31">
        <v>984940382.1758</v>
      </c>
    </row>
    <row r="32" spans="1:27" ht="12.75">
      <c r="A32" t="s">
        <v>253</v>
      </c>
      <c r="B32">
        <v>1171.47849462365</v>
      </c>
      <c r="C32">
        <v>297.559523809523</v>
      </c>
      <c r="D32">
        <v>222.537878787878</v>
      </c>
      <c r="E32">
        <v>780.708333333333</v>
      </c>
      <c r="F32">
        <v>647.217741935483</v>
      </c>
      <c r="G32">
        <v>276.305555555555</v>
      </c>
      <c r="H32">
        <v>122.002688172043</v>
      </c>
      <c r="I32">
        <v>140.362903225806</v>
      </c>
      <c r="J32">
        <v>721.083333333333</v>
      </c>
      <c r="K32">
        <v>781.774193548387</v>
      </c>
      <c r="L32">
        <v>1057.97222222222</v>
      </c>
      <c r="M32">
        <v>1320.52419354838</v>
      </c>
      <c r="N32">
        <v>2179.46236559139</v>
      </c>
      <c r="O32">
        <v>1374.46428571428</v>
      </c>
      <c r="P32">
        <v>1081.71432062561</v>
      </c>
      <c r="Q32">
        <v>434.222222222222</v>
      </c>
      <c r="R32">
        <v>73.7365591397849</v>
      </c>
      <c r="S32">
        <v>411.986111111111</v>
      </c>
      <c r="T32">
        <v>283.010752688172</v>
      </c>
      <c r="U32">
        <v>106.189170303979</v>
      </c>
      <c r="V32">
        <v>71.4110804701318</v>
      </c>
      <c r="W32">
        <v>63.3080001741994</v>
      </c>
      <c r="X32">
        <v>1025.11687930755</v>
      </c>
      <c r="Y32">
        <v>1792.6884417271</v>
      </c>
      <c r="AA32">
        <v>253521000</v>
      </c>
    </row>
    <row r="33" spans="1:27" ht="12.75">
      <c r="A33" t="s">
        <v>149</v>
      </c>
      <c r="B33">
        <v>2204.01091982668</v>
      </c>
      <c r="C33">
        <v>666.291425760743</v>
      </c>
      <c r="D33">
        <v>1137.54833406448</v>
      </c>
      <c r="E33">
        <v>1599.05278091234</v>
      </c>
      <c r="F33">
        <v>967.758503288335</v>
      </c>
      <c r="G33">
        <v>418.433016730798</v>
      </c>
      <c r="H33">
        <v>311.277108106095</v>
      </c>
      <c r="I33">
        <v>221.897056283672</v>
      </c>
      <c r="J33">
        <v>195.164359751588</v>
      </c>
      <c r="K33">
        <v>500.091514873988</v>
      </c>
      <c r="L33">
        <v>1227.16251656223</v>
      </c>
      <c r="M33">
        <v>4057.24832820228</v>
      </c>
      <c r="N33">
        <v>7113.83517471791</v>
      </c>
      <c r="O33">
        <v>2264.57324514438</v>
      </c>
      <c r="P33">
        <v>1214.00623665846</v>
      </c>
      <c r="Q33">
        <v>1045.70894004593</v>
      </c>
      <c r="R33">
        <v>699.097713466782</v>
      </c>
      <c r="S33">
        <v>573.20622280854</v>
      </c>
      <c r="T33">
        <v>287.510628824393</v>
      </c>
      <c r="U33">
        <v>212.738719687209</v>
      </c>
      <c r="V33">
        <v>186.006971469964</v>
      </c>
      <c r="W33">
        <v>167.256640390873</v>
      </c>
      <c r="X33">
        <v>5175.05646087573</v>
      </c>
      <c r="Y33">
        <v>3452.03349329787</v>
      </c>
      <c r="AA33">
        <v>334707435</v>
      </c>
    </row>
    <row r="34" spans="1:27" ht="12.75">
      <c r="A34" t="s">
        <v>254</v>
      </c>
      <c r="B34">
        <v>1088.44311174325</v>
      </c>
      <c r="C34">
        <v>478.344271929385</v>
      </c>
      <c r="D34">
        <v>750.782222754447</v>
      </c>
      <c r="E34">
        <v>982.160058248467</v>
      </c>
      <c r="F34">
        <v>547.564177244859</v>
      </c>
      <c r="G34">
        <v>411.832042036401</v>
      </c>
      <c r="H34">
        <v>276.50837498669</v>
      </c>
      <c r="I34">
        <v>112.740877595543</v>
      </c>
      <c r="J34">
        <v>98.5303556505142</v>
      </c>
      <c r="K34">
        <v>153.330172550309</v>
      </c>
      <c r="L34">
        <v>332.972733716718</v>
      </c>
      <c r="M34">
        <v>809.126661815889</v>
      </c>
      <c r="N34">
        <v>1296.38291567175</v>
      </c>
      <c r="O34">
        <v>603.264900793452</v>
      </c>
      <c r="P34">
        <v>300.37806772622</v>
      </c>
      <c r="Q34">
        <v>295.025516979495</v>
      </c>
      <c r="R34">
        <v>165.406651960358</v>
      </c>
      <c r="S34">
        <v>133.362439918976</v>
      </c>
      <c r="T34">
        <v>93.4205762210197</v>
      </c>
      <c r="U34">
        <v>77.2797410234514</v>
      </c>
      <c r="V34">
        <v>65.1965990208648</v>
      </c>
      <c r="W34">
        <v>76.4580651165884</v>
      </c>
      <c r="X34">
        <v>927.863028927234</v>
      </c>
      <c r="Y34">
        <v>1553.45263754841</v>
      </c>
      <c r="AA34">
        <v>577777889.518164</v>
      </c>
    </row>
    <row r="35" spans="1:27" ht="12.75">
      <c r="A35" t="s">
        <v>255</v>
      </c>
      <c r="B35">
        <v>1224.20062667591</v>
      </c>
      <c r="C35">
        <v>462.118419982304</v>
      </c>
      <c r="D35">
        <v>777.638940666878</v>
      </c>
      <c r="E35">
        <v>982.689630476441</v>
      </c>
      <c r="F35">
        <v>513.675806005036</v>
      </c>
      <c r="G35">
        <v>423.205179557858</v>
      </c>
      <c r="H35">
        <v>307.88425958863</v>
      </c>
      <c r="I35">
        <v>128.558048954279</v>
      </c>
      <c r="J35">
        <v>107.500201596183</v>
      </c>
      <c r="K35">
        <v>172.977541333517</v>
      </c>
      <c r="L35">
        <v>360.575549387457</v>
      </c>
      <c r="M35">
        <v>858.981455562242</v>
      </c>
      <c r="N35">
        <v>1301.53017313352</v>
      </c>
      <c r="O35">
        <v>628.913028069655</v>
      </c>
      <c r="P35">
        <v>325.628364492888</v>
      </c>
      <c r="Q35">
        <v>323.770421359059</v>
      </c>
      <c r="R35">
        <v>164.149142270266</v>
      </c>
      <c r="S35">
        <v>145.004248786926</v>
      </c>
      <c r="T35">
        <v>101.155525607358</v>
      </c>
      <c r="U35">
        <v>80.9327261771902</v>
      </c>
      <c r="V35">
        <v>65.4234296859209</v>
      </c>
      <c r="W35">
        <v>68.3166425628856</v>
      </c>
      <c r="X35">
        <v>787.003260039099</v>
      </c>
      <c r="Y35">
        <v>1557.8823149869</v>
      </c>
      <c r="AA35">
        <v>617553293.306035</v>
      </c>
    </row>
    <row r="36" spans="1:27" ht="12.75">
      <c r="A36" t="s">
        <v>256</v>
      </c>
      <c r="B36">
        <v>2828.30483089251</v>
      </c>
      <c r="C36">
        <v>1194.78989299131</v>
      </c>
      <c r="D36">
        <v>1543.42968893116</v>
      </c>
      <c r="E36">
        <v>2315.40980012784</v>
      </c>
      <c r="F36">
        <v>2620.43098079761</v>
      </c>
      <c r="G36">
        <v>1366.24060332017</v>
      </c>
      <c r="H36">
        <v>830.748915646008</v>
      </c>
      <c r="I36">
        <v>526.038949923481</v>
      </c>
      <c r="J36">
        <v>396.34950095937</v>
      </c>
      <c r="K36">
        <v>761.034538086137</v>
      </c>
      <c r="L36">
        <v>1618.05703287246</v>
      </c>
      <c r="M36">
        <v>4602.45606930566</v>
      </c>
      <c r="N36">
        <v>6567.79098495712</v>
      </c>
      <c r="O36">
        <v>3037.42332202757</v>
      </c>
      <c r="P36">
        <v>2137.91616644989</v>
      </c>
      <c r="Q36">
        <v>2071.86843693964</v>
      </c>
      <c r="R36">
        <v>2743.76812172638</v>
      </c>
      <c r="S36">
        <v>2522.06194264892</v>
      </c>
      <c r="T36">
        <v>1177.62170993758</v>
      </c>
      <c r="U36">
        <v>492.979850814968</v>
      </c>
      <c r="V36">
        <v>334.060013655912</v>
      </c>
      <c r="W36">
        <v>344.05351837367</v>
      </c>
      <c r="X36">
        <v>3978.84876886738</v>
      </c>
      <c r="Y36">
        <v>1748.73982821272</v>
      </c>
      <c r="AA36">
        <v>984940382.1758</v>
      </c>
    </row>
    <row r="37" spans="1:27" ht="12.75">
      <c r="A37" t="s">
        <v>253</v>
      </c>
      <c r="B37">
        <v>1171.47849462365</v>
      </c>
      <c r="C37">
        <v>297.559523809523</v>
      </c>
      <c r="D37">
        <v>222.537878787878</v>
      </c>
      <c r="E37">
        <v>780.708333333333</v>
      </c>
      <c r="F37">
        <v>647.217741935483</v>
      </c>
      <c r="G37">
        <v>276.305555555555</v>
      </c>
      <c r="H37">
        <v>122.002688172043</v>
      </c>
      <c r="I37">
        <v>140.362903225806</v>
      </c>
      <c r="J37">
        <v>721.083333333333</v>
      </c>
      <c r="K37">
        <v>781.774193548387</v>
      </c>
      <c r="L37">
        <v>1057.97222222222</v>
      </c>
      <c r="M37">
        <v>1320.52419354838</v>
      </c>
      <c r="N37">
        <v>2179.46236559139</v>
      </c>
      <c r="O37">
        <v>1374.46428571428</v>
      </c>
      <c r="P37">
        <v>1081.71432062561</v>
      </c>
      <c r="Q37">
        <v>434.222222222222</v>
      </c>
      <c r="R37">
        <v>73.7365591397849</v>
      </c>
      <c r="S37">
        <v>411.986111111111</v>
      </c>
      <c r="T37">
        <v>283.010752688172</v>
      </c>
      <c r="U37">
        <v>106.189170303979</v>
      </c>
      <c r="V37">
        <v>71.4110804701318</v>
      </c>
      <c r="W37">
        <v>63.3080001741994</v>
      </c>
      <c r="X37">
        <v>1025.11687930755</v>
      </c>
      <c r="Y37">
        <v>1792.6884417271</v>
      </c>
      <c r="AA37">
        <v>253521000</v>
      </c>
    </row>
    <row r="38" spans="1:27" ht="12.75">
      <c r="A38" t="s">
        <v>149</v>
      </c>
      <c r="B38">
        <v>2204.01091982668</v>
      </c>
      <c r="C38">
        <v>666.291425760743</v>
      </c>
      <c r="D38">
        <v>1137.54833406448</v>
      </c>
      <c r="E38">
        <v>1599.05278091234</v>
      </c>
      <c r="F38">
        <v>967.758503288335</v>
      </c>
      <c r="G38">
        <v>418.433016730798</v>
      </c>
      <c r="H38">
        <v>311.277108106095</v>
      </c>
      <c r="I38">
        <v>221.897056283672</v>
      </c>
      <c r="J38">
        <v>195.164359751588</v>
      </c>
      <c r="K38">
        <v>500.091514873988</v>
      </c>
      <c r="L38">
        <v>1227.16251656223</v>
      </c>
      <c r="M38">
        <v>4057.24832820228</v>
      </c>
      <c r="N38">
        <v>7113.83517471791</v>
      </c>
      <c r="O38">
        <v>2264.57324514438</v>
      </c>
      <c r="P38">
        <v>1214.00623665846</v>
      </c>
      <c r="Q38">
        <v>1045.70894004593</v>
      </c>
      <c r="R38">
        <v>699.097713466782</v>
      </c>
      <c r="S38">
        <v>573.20622280854</v>
      </c>
      <c r="T38">
        <v>287.510628824393</v>
      </c>
      <c r="U38">
        <v>212.738719687209</v>
      </c>
      <c r="V38">
        <v>186.006971469964</v>
      </c>
      <c r="W38">
        <v>167.256640390873</v>
      </c>
      <c r="X38">
        <v>5175.05646087573</v>
      </c>
      <c r="Y38">
        <v>3452.03349329787</v>
      </c>
      <c r="AA38">
        <v>334707435</v>
      </c>
    </row>
    <row r="39" spans="1:27" ht="12.75">
      <c r="A39" t="s">
        <v>254</v>
      </c>
      <c r="B39">
        <v>1088.44311174325</v>
      </c>
      <c r="C39">
        <v>478.344271929385</v>
      </c>
      <c r="D39">
        <v>750.782222754447</v>
      </c>
      <c r="E39">
        <v>982.160058248467</v>
      </c>
      <c r="F39">
        <v>547.564177244859</v>
      </c>
      <c r="G39">
        <v>411.832042036401</v>
      </c>
      <c r="H39">
        <v>276.50837498669</v>
      </c>
      <c r="I39">
        <v>112.740877595543</v>
      </c>
      <c r="J39">
        <v>98.5303556505142</v>
      </c>
      <c r="K39">
        <v>153.330172550309</v>
      </c>
      <c r="L39">
        <v>332.972733716718</v>
      </c>
      <c r="M39">
        <v>809.126661815889</v>
      </c>
      <c r="N39">
        <v>1296.38291567175</v>
      </c>
      <c r="O39">
        <v>603.264900793452</v>
      </c>
      <c r="P39">
        <v>300.37806772622</v>
      </c>
      <c r="Q39">
        <v>295.025516979495</v>
      </c>
      <c r="R39">
        <v>165.406651960358</v>
      </c>
      <c r="S39">
        <v>133.362439918976</v>
      </c>
      <c r="T39">
        <v>93.4205762210197</v>
      </c>
      <c r="U39">
        <v>77.2797410234514</v>
      </c>
      <c r="V39">
        <v>65.1965990208648</v>
      </c>
      <c r="W39">
        <v>76.4580651165884</v>
      </c>
      <c r="X39">
        <v>927.863028927234</v>
      </c>
      <c r="Y39">
        <v>1553.45263754841</v>
      </c>
      <c r="AA39">
        <v>577777889.518164</v>
      </c>
    </row>
    <row r="40" spans="1:27" ht="12.75">
      <c r="A40" t="s">
        <v>255</v>
      </c>
      <c r="B40">
        <v>1224.20062667591</v>
      </c>
      <c r="C40">
        <v>462.118419982304</v>
      </c>
      <c r="D40">
        <v>777.638940666878</v>
      </c>
      <c r="E40">
        <v>982.689630476441</v>
      </c>
      <c r="F40">
        <v>513.675806005036</v>
      </c>
      <c r="G40">
        <v>423.205179557858</v>
      </c>
      <c r="H40">
        <v>307.88425958863</v>
      </c>
      <c r="I40">
        <v>128.558048954279</v>
      </c>
      <c r="J40">
        <v>107.500201596183</v>
      </c>
      <c r="K40">
        <v>172.977541333517</v>
      </c>
      <c r="L40">
        <v>360.575549387457</v>
      </c>
      <c r="M40">
        <v>858.981455562242</v>
      </c>
      <c r="N40">
        <v>1301.53017313352</v>
      </c>
      <c r="O40">
        <v>628.913028069655</v>
      </c>
      <c r="P40">
        <v>325.628364492888</v>
      </c>
      <c r="Q40">
        <v>323.770421359059</v>
      </c>
      <c r="R40">
        <v>164.149142270266</v>
      </c>
      <c r="S40">
        <v>145.004248786926</v>
      </c>
      <c r="T40">
        <v>101.155525607358</v>
      </c>
      <c r="U40">
        <v>80.9327261771902</v>
      </c>
      <c r="V40">
        <v>65.4234296859209</v>
      </c>
      <c r="W40">
        <v>68.3166425628856</v>
      </c>
      <c r="X40">
        <v>787.003260039099</v>
      </c>
      <c r="Y40">
        <v>1557.8823149869</v>
      </c>
      <c r="AA40">
        <v>617553293.306035</v>
      </c>
    </row>
    <row r="41" spans="1:27" ht="12.75">
      <c r="A41" t="s">
        <v>256</v>
      </c>
      <c r="B41">
        <v>2828.30483089251</v>
      </c>
      <c r="C41">
        <v>1194.78989299131</v>
      </c>
      <c r="D41">
        <v>1543.42968893116</v>
      </c>
      <c r="E41">
        <v>2315.40980012784</v>
      </c>
      <c r="F41">
        <v>2620.43098079761</v>
      </c>
      <c r="G41">
        <v>1366.24060332017</v>
      </c>
      <c r="H41">
        <v>830.748915646008</v>
      </c>
      <c r="I41">
        <v>526.038949923481</v>
      </c>
      <c r="J41">
        <v>396.34950095937</v>
      </c>
      <c r="K41">
        <v>761.034538086137</v>
      </c>
      <c r="L41">
        <v>1618.05703287246</v>
      </c>
      <c r="M41">
        <v>4602.45606930566</v>
      </c>
      <c r="N41">
        <v>6567.79098495712</v>
      </c>
      <c r="O41">
        <v>3037.42332202757</v>
      </c>
      <c r="P41">
        <v>2137.91616644989</v>
      </c>
      <c r="Q41">
        <v>2071.86843693964</v>
      </c>
      <c r="R41">
        <v>2743.76812172638</v>
      </c>
      <c r="S41">
        <v>2522.06194264892</v>
      </c>
      <c r="T41">
        <v>1177.62170993758</v>
      </c>
      <c r="U41">
        <v>492.979850814968</v>
      </c>
      <c r="V41">
        <v>334.060013655912</v>
      </c>
      <c r="W41">
        <v>344.05351837367</v>
      </c>
      <c r="X41">
        <v>3978.84876886738</v>
      </c>
      <c r="Y41">
        <v>1748.73982821272</v>
      </c>
      <c r="AA41">
        <v>984940382.1758</v>
      </c>
    </row>
    <row r="42" spans="1:27" ht="12.75">
      <c r="A42" t="s">
        <v>253</v>
      </c>
      <c r="B42">
        <v>1171.47849462365</v>
      </c>
      <c r="C42">
        <v>297.559523809523</v>
      </c>
      <c r="D42">
        <v>222.537878787878</v>
      </c>
      <c r="E42">
        <v>780.708333333333</v>
      </c>
      <c r="F42">
        <v>647.217741935483</v>
      </c>
      <c r="G42">
        <v>276.305555555555</v>
      </c>
      <c r="H42">
        <v>122.002688172043</v>
      </c>
      <c r="I42">
        <v>140.362903225806</v>
      </c>
      <c r="J42">
        <v>721.083333333333</v>
      </c>
      <c r="K42">
        <v>781.774193548387</v>
      </c>
      <c r="L42">
        <v>1057.97222222222</v>
      </c>
      <c r="M42">
        <v>1320.52419354838</v>
      </c>
      <c r="N42">
        <v>2179.46236559139</v>
      </c>
      <c r="O42">
        <v>1374.46428571428</v>
      </c>
      <c r="P42">
        <v>1081.71432062561</v>
      </c>
      <c r="Q42">
        <v>434.222222222222</v>
      </c>
      <c r="R42">
        <v>73.7365591397849</v>
      </c>
      <c r="S42">
        <v>411.986111111111</v>
      </c>
      <c r="T42">
        <v>283.010752688172</v>
      </c>
      <c r="U42">
        <v>106.189170303979</v>
      </c>
      <c r="V42">
        <v>71.4110804701318</v>
      </c>
      <c r="W42">
        <v>63.3080001741994</v>
      </c>
      <c r="X42">
        <v>1025.11687930755</v>
      </c>
      <c r="Y42">
        <v>1792.6884417271</v>
      </c>
      <c r="AA42">
        <v>253521000</v>
      </c>
    </row>
    <row r="43" spans="1:27" ht="12.75">
      <c r="A43" t="s">
        <v>149</v>
      </c>
      <c r="B43">
        <v>2204.01091982668</v>
      </c>
      <c r="C43">
        <v>666.291425760743</v>
      </c>
      <c r="D43">
        <v>1137.54833406448</v>
      </c>
      <c r="E43">
        <v>1599.05278091234</v>
      </c>
      <c r="F43">
        <v>967.758503288335</v>
      </c>
      <c r="G43">
        <v>418.433016730798</v>
      </c>
      <c r="H43">
        <v>311.277108106095</v>
      </c>
      <c r="I43">
        <v>221.897056283672</v>
      </c>
      <c r="J43">
        <v>195.164359751588</v>
      </c>
      <c r="K43">
        <v>500.091514873988</v>
      </c>
      <c r="L43">
        <v>1227.16251656223</v>
      </c>
      <c r="M43">
        <v>4057.24832820228</v>
      </c>
      <c r="N43">
        <v>7113.83517471791</v>
      </c>
      <c r="O43">
        <v>2264.57324514438</v>
      </c>
      <c r="P43">
        <v>1214.00623665846</v>
      </c>
      <c r="Q43">
        <v>1045.70894004593</v>
      </c>
      <c r="R43">
        <v>699.097713466782</v>
      </c>
      <c r="S43">
        <v>573.20622280854</v>
      </c>
      <c r="T43">
        <v>287.510628824393</v>
      </c>
      <c r="U43">
        <v>212.738719687209</v>
      </c>
      <c r="V43">
        <v>186.006971469964</v>
      </c>
      <c r="W43">
        <v>167.256640390873</v>
      </c>
      <c r="X43">
        <v>5175.05646087573</v>
      </c>
      <c r="Y43">
        <v>3452.03349329787</v>
      </c>
      <c r="AA43">
        <v>334707435</v>
      </c>
    </row>
    <row r="44" spans="1:27" ht="12.75">
      <c r="A44" t="s">
        <v>254</v>
      </c>
      <c r="B44">
        <v>1088.44311174325</v>
      </c>
      <c r="C44">
        <v>478.344271929385</v>
      </c>
      <c r="D44">
        <v>750.782222754447</v>
      </c>
      <c r="E44">
        <v>982.160058248467</v>
      </c>
      <c r="F44">
        <v>547.564177244859</v>
      </c>
      <c r="G44">
        <v>411.832042036401</v>
      </c>
      <c r="H44">
        <v>276.50837498669</v>
      </c>
      <c r="I44">
        <v>112.740877595543</v>
      </c>
      <c r="J44">
        <v>98.5303556505142</v>
      </c>
      <c r="K44">
        <v>153.330172550309</v>
      </c>
      <c r="L44">
        <v>332.972733716718</v>
      </c>
      <c r="M44">
        <v>809.126661815889</v>
      </c>
      <c r="N44">
        <v>1296.38291567175</v>
      </c>
      <c r="O44">
        <v>603.264900793452</v>
      </c>
      <c r="P44">
        <v>300.37806772622</v>
      </c>
      <c r="Q44">
        <v>295.025516979495</v>
      </c>
      <c r="R44">
        <v>165.406651960358</v>
      </c>
      <c r="S44">
        <v>133.362439918976</v>
      </c>
      <c r="T44">
        <v>93.4205762210197</v>
      </c>
      <c r="U44">
        <v>77.2797410234514</v>
      </c>
      <c r="V44">
        <v>65.1965990208648</v>
      </c>
      <c r="W44">
        <v>76.4580651165884</v>
      </c>
      <c r="X44">
        <v>927.863028927234</v>
      </c>
      <c r="Y44">
        <v>1553.45263754841</v>
      </c>
      <c r="AA44">
        <v>577777889.518164</v>
      </c>
    </row>
    <row r="45" spans="1:27" ht="12.75">
      <c r="A45" t="s">
        <v>255</v>
      </c>
      <c r="B45">
        <v>1224.20062667591</v>
      </c>
      <c r="C45">
        <v>462.118419982304</v>
      </c>
      <c r="D45">
        <v>777.638940666878</v>
      </c>
      <c r="E45">
        <v>982.689630476441</v>
      </c>
      <c r="F45">
        <v>513.675806005036</v>
      </c>
      <c r="G45">
        <v>423.205179557858</v>
      </c>
      <c r="H45">
        <v>307.88425958863</v>
      </c>
      <c r="I45">
        <v>128.558048954279</v>
      </c>
      <c r="J45">
        <v>107.500201596183</v>
      </c>
      <c r="K45">
        <v>172.977541333517</v>
      </c>
      <c r="L45">
        <v>360.575549387457</v>
      </c>
      <c r="M45">
        <v>858.981455562242</v>
      </c>
      <c r="N45">
        <v>1301.53017313352</v>
      </c>
      <c r="O45">
        <v>628.913028069655</v>
      </c>
      <c r="P45">
        <v>325.628364492888</v>
      </c>
      <c r="Q45">
        <v>323.770421359059</v>
      </c>
      <c r="R45">
        <v>164.149142270266</v>
      </c>
      <c r="S45">
        <v>145.004248786926</v>
      </c>
      <c r="T45">
        <v>101.155525607358</v>
      </c>
      <c r="U45">
        <v>80.9327261771902</v>
      </c>
      <c r="V45">
        <v>65.4234296859209</v>
      </c>
      <c r="W45">
        <v>68.3166425628856</v>
      </c>
      <c r="X45">
        <v>787.003260039099</v>
      </c>
      <c r="Y45">
        <v>1557.8823149869</v>
      </c>
      <c r="AA45">
        <v>617553293.306035</v>
      </c>
    </row>
    <row r="46" spans="1:27" ht="12.75">
      <c r="A46" t="s">
        <v>256</v>
      </c>
      <c r="B46">
        <v>2828.30483089251</v>
      </c>
      <c r="C46">
        <v>1194.78989299131</v>
      </c>
      <c r="D46">
        <v>1543.42968893116</v>
      </c>
      <c r="E46">
        <v>2315.40980012784</v>
      </c>
      <c r="F46">
        <v>2620.43098079761</v>
      </c>
      <c r="G46">
        <v>1366.24060332017</v>
      </c>
      <c r="H46">
        <v>830.748915646008</v>
      </c>
      <c r="I46">
        <v>526.038949923481</v>
      </c>
      <c r="J46">
        <v>396.34950095937</v>
      </c>
      <c r="K46">
        <v>761.034538086137</v>
      </c>
      <c r="L46">
        <v>1618.05703287246</v>
      </c>
      <c r="M46">
        <v>4602.45606930566</v>
      </c>
      <c r="N46">
        <v>6567.79098495712</v>
      </c>
      <c r="O46">
        <v>3037.42332202757</v>
      </c>
      <c r="P46">
        <v>2137.91616644989</v>
      </c>
      <c r="Q46">
        <v>2071.86843693964</v>
      </c>
      <c r="R46">
        <v>2743.76812172638</v>
      </c>
      <c r="S46">
        <v>2522.06194264892</v>
      </c>
      <c r="T46">
        <v>1177.62170993758</v>
      </c>
      <c r="U46">
        <v>492.979850814968</v>
      </c>
      <c r="V46">
        <v>334.060013655912</v>
      </c>
      <c r="W46">
        <v>344.05351837367</v>
      </c>
      <c r="X46">
        <v>3978.84876886738</v>
      </c>
      <c r="Y46">
        <v>1748.73982821272</v>
      </c>
      <c r="AA46">
        <v>984940382.1758</v>
      </c>
    </row>
    <row r="47" spans="1:27" ht="12.75">
      <c r="A47" t="s">
        <v>253</v>
      </c>
      <c r="B47">
        <v>1171.47849462365</v>
      </c>
      <c r="C47">
        <v>297.559523809523</v>
      </c>
      <c r="D47">
        <v>222.537878787878</v>
      </c>
      <c r="E47">
        <v>780.708333333333</v>
      </c>
      <c r="F47">
        <v>647.217741935483</v>
      </c>
      <c r="G47">
        <v>276.305555555555</v>
      </c>
      <c r="H47">
        <v>122.002688172043</v>
      </c>
      <c r="I47">
        <v>140.362903225806</v>
      </c>
      <c r="J47">
        <v>721.083333333333</v>
      </c>
      <c r="K47">
        <v>781.774193548387</v>
      </c>
      <c r="L47">
        <v>1057.97222222222</v>
      </c>
      <c r="M47">
        <v>1320.52419354838</v>
      </c>
      <c r="N47">
        <v>2179.46236559139</v>
      </c>
      <c r="O47">
        <v>1374.46428571428</v>
      </c>
      <c r="P47">
        <v>1081.71432062561</v>
      </c>
      <c r="Q47">
        <v>434.222222222222</v>
      </c>
      <c r="R47">
        <v>73.7365591397849</v>
      </c>
      <c r="S47">
        <v>411.986111111111</v>
      </c>
      <c r="T47">
        <v>283.010752688172</v>
      </c>
      <c r="U47">
        <v>106.189170303979</v>
      </c>
      <c r="V47">
        <v>71.4110804701318</v>
      </c>
      <c r="W47">
        <v>63.3080001741994</v>
      </c>
      <c r="X47">
        <v>1025.11687930755</v>
      </c>
      <c r="Y47">
        <v>1792.6884417271</v>
      </c>
      <c r="AA47">
        <v>253521000</v>
      </c>
    </row>
    <row r="48" spans="1:27" ht="12.75">
      <c r="A48" t="s">
        <v>149</v>
      </c>
      <c r="B48">
        <v>2204.01091982668</v>
      </c>
      <c r="C48">
        <v>666.291425760743</v>
      </c>
      <c r="D48">
        <v>1137.54833406448</v>
      </c>
      <c r="E48">
        <v>1599.05278091234</v>
      </c>
      <c r="F48">
        <v>967.758503288335</v>
      </c>
      <c r="G48">
        <v>418.433016730798</v>
      </c>
      <c r="H48">
        <v>311.277108106095</v>
      </c>
      <c r="I48">
        <v>221.897056283672</v>
      </c>
      <c r="J48">
        <v>195.164359751588</v>
      </c>
      <c r="K48">
        <v>500.091514873988</v>
      </c>
      <c r="L48">
        <v>1227.16251656223</v>
      </c>
      <c r="M48">
        <v>4057.24832820228</v>
      </c>
      <c r="N48">
        <v>7113.83517471791</v>
      </c>
      <c r="O48">
        <v>2264.57324514438</v>
      </c>
      <c r="P48">
        <v>1214.00623665846</v>
      </c>
      <c r="Q48">
        <v>1045.70894004593</v>
      </c>
      <c r="R48">
        <v>699.097713466782</v>
      </c>
      <c r="S48">
        <v>573.20622280854</v>
      </c>
      <c r="T48">
        <v>287.510628824393</v>
      </c>
      <c r="U48">
        <v>212.738719687209</v>
      </c>
      <c r="V48">
        <v>186.006971469964</v>
      </c>
      <c r="W48">
        <v>167.256640390873</v>
      </c>
      <c r="X48">
        <v>5175.05646087573</v>
      </c>
      <c r="Y48">
        <v>3452.03349329787</v>
      </c>
      <c r="AA48">
        <v>334707435</v>
      </c>
    </row>
    <row r="49" spans="1:27" ht="12.75">
      <c r="A49" t="s">
        <v>254</v>
      </c>
      <c r="B49">
        <v>1088.44311174325</v>
      </c>
      <c r="C49">
        <v>478.344271929385</v>
      </c>
      <c r="D49">
        <v>750.782222754447</v>
      </c>
      <c r="E49">
        <v>982.160058248467</v>
      </c>
      <c r="F49">
        <v>547.564177244859</v>
      </c>
      <c r="G49">
        <v>411.832042036401</v>
      </c>
      <c r="H49">
        <v>276.50837498669</v>
      </c>
      <c r="I49">
        <v>112.740877595543</v>
      </c>
      <c r="J49">
        <v>98.5303556505142</v>
      </c>
      <c r="K49">
        <v>153.330172550309</v>
      </c>
      <c r="L49">
        <v>332.972733716718</v>
      </c>
      <c r="M49">
        <v>809.126661815889</v>
      </c>
      <c r="N49">
        <v>1296.38291567175</v>
      </c>
      <c r="O49">
        <v>603.264900793452</v>
      </c>
      <c r="P49">
        <v>300.37806772622</v>
      </c>
      <c r="Q49">
        <v>295.025516979495</v>
      </c>
      <c r="R49">
        <v>165.406651960358</v>
      </c>
      <c r="S49">
        <v>133.362439918976</v>
      </c>
      <c r="T49">
        <v>93.4205762210197</v>
      </c>
      <c r="U49">
        <v>77.2797410234514</v>
      </c>
      <c r="V49">
        <v>65.1965990208648</v>
      </c>
      <c r="W49">
        <v>76.4580651165884</v>
      </c>
      <c r="X49">
        <v>927.863028927234</v>
      </c>
      <c r="Y49">
        <v>1553.45263754841</v>
      </c>
      <c r="AA49">
        <v>577777889.518164</v>
      </c>
    </row>
    <row r="50" spans="1:27" ht="12.75">
      <c r="A50" t="s">
        <v>255</v>
      </c>
      <c r="B50">
        <v>1224.20062667591</v>
      </c>
      <c r="C50">
        <v>462.118419982304</v>
      </c>
      <c r="D50">
        <v>777.638940666878</v>
      </c>
      <c r="E50">
        <v>982.689630476441</v>
      </c>
      <c r="F50">
        <v>513.675806005036</v>
      </c>
      <c r="G50">
        <v>423.205179557858</v>
      </c>
      <c r="H50">
        <v>307.88425958863</v>
      </c>
      <c r="I50">
        <v>128.558048954279</v>
      </c>
      <c r="J50">
        <v>107.500201596183</v>
      </c>
      <c r="K50">
        <v>172.977541333517</v>
      </c>
      <c r="L50">
        <v>360.575549387457</v>
      </c>
      <c r="M50">
        <v>858.981455562242</v>
      </c>
      <c r="N50">
        <v>1301.53017313352</v>
      </c>
      <c r="O50">
        <v>628.913028069655</v>
      </c>
      <c r="P50">
        <v>325.628364492888</v>
      </c>
      <c r="Q50">
        <v>323.770421359059</v>
      </c>
      <c r="R50">
        <v>164.149142270266</v>
      </c>
      <c r="S50">
        <v>145.004248786926</v>
      </c>
      <c r="T50">
        <v>101.155525607358</v>
      </c>
      <c r="U50">
        <v>80.9327261771902</v>
      </c>
      <c r="V50">
        <v>65.4234296859209</v>
      </c>
      <c r="W50">
        <v>68.3166425628856</v>
      </c>
      <c r="X50">
        <v>787.003260039099</v>
      </c>
      <c r="Y50">
        <v>1557.8823149869</v>
      </c>
      <c r="AA50">
        <v>617553293.306035</v>
      </c>
    </row>
    <row r="51" spans="1:27" ht="12.75">
      <c r="A51" t="s">
        <v>256</v>
      </c>
      <c r="B51">
        <v>2828.30483089251</v>
      </c>
      <c r="C51">
        <v>1194.78989299131</v>
      </c>
      <c r="D51">
        <v>1543.42968893116</v>
      </c>
      <c r="E51">
        <v>2315.40980012784</v>
      </c>
      <c r="F51">
        <v>2620.43098079761</v>
      </c>
      <c r="G51">
        <v>1366.24060332017</v>
      </c>
      <c r="H51">
        <v>830.748915646008</v>
      </c>
      <c r="I51">
        <v>526.038949923481</v>
      </c>
      <c r="J51">
        <v>396.34950095937</v>
      </c>
      <c r="K51">
        <v>761.034538086137</v>
      </c>
      <c r="L51">
        <v>1618.05703287246</v>
      </c>
      <c r="M51">
        <v>4602.45606930566</v>
      </c>
      <c r="N51">
        <v>6567.79098495712</v>
      </c>
      <c r="O51">
        <v>3037.42332202757</v>
      </c>
      <c r="P51">
        <v>2137.91616644989</v>
      </c>
      <c r="Q51">
        <v>2071.86843693964</v>
      </c>
      <c r="R51">
        <v>2743.76812172638</v>
      </c>
      <c r="S51">
        <v>2522.06194264892</v>
      </c>
      <c r="T51">
        <v>1177.62170993758</v>
      </c>
      <c r="U51">
        <v>492.979850814968</v>
      </c>
      <c r="V51">
        <v>334.060013655912</v>
      </c>
      <c r="W51">
        <v>344.05351837367</v>
      </c>
      <c r="X51">
        <v>3978.84876886738</v>
      </c>
      <c r="Y51">
        <v>1748.73982821272</v>
      </c>
      <c r="AA51">
        <v>984940382.1758</v>
      </c>
    </row>
    <row r="52" spans="1:27" ht="12.75">
      <c r="A52" t="s">
        <v>253</v>
      </c>
      <c r="B52">
        <v>1171.47849462365</v>
      </c>
      <c r="C52">
        <v>297.559523809523</v>
      </c>
      <c r="D52">
        <v>222.537878787878</v>
      </c>
      <c r="E52">
        <v>780.708333333333</v>
      </c>
      <c r="F52">
        <v>647.217741935483</v>
      </c>
      <c r="G52">
        <v>276.305555555555</v>
      </c>
      <c r="H52">
        <v>122.002688172043</v>
      </c>
      <c r="I52">
        <v>140.362903225806</v>
      </c>
      <c r="J52">
        <v>721.083333333333</v>
      </c>
      <c r="K52">
        <v>781.774193548387</v>
      </c>
      <c r="L52">
        <v>1057.97222222222</v>
      </c>
      <c r="M52">
        <v>1320.52419354838</v>
      </c>
      <c r="N52">
        <v>2179.46236559139</v>
      </c>
      <c r="O52">
        <v>1374.46428571428</v>
      </c>
      <c r="P52">
        <v>1081.71432062561</v>
      </c>
      <c r="Q52">
        <v>434.222222222222</v>
      </c>
      <c r="R52">
        <v>73.7365591397849</v>
      </c>
      <c r="S52">
        <v>411.986111111111</v>
      </c>
      <c r="T52">
        <v>283.010752688172</v>
      </c>
      <c r="U52">
        <v>106.189170303979</v>
      </c>
      <c r="V52">
        <v>71.4110804701318</v>
      </c>
      <c r="W52">
        <v>63.3080001741994</v>
      </c>
      <c r="X52">
        <v>1025.11687930755</v>
      </c>
      <c r="Y52">
        <v>1792.6884417271</v>
      </c>
      <c r="AA52">
        <v>253521000</v>
      </c>
    </row>
    <row r="53" spans="1:27" ht="12.75">
      <c r="A53" t="s">
        <v>149</v>
      </c>
      <c r="B53">
        <v>2204.01091982668</v>
      </c>
      <c r="C53">
        <v>666.291425760743</v>
      </c>
      <c r="D53">
        <v>1137.54833406448</v>
      </c>
      <c r="E53">
        <v>1599.05278091234</v>
      </c>
      <c r="F53">
        <v>967.758503288335</v>
      </c>
      <c r="G53">
        <v>418.433016730798</v>
      </c>
      <c r="H53">
        <v>311.277108106095</v>
      </c>
      <c r="I53">
        <v>221.897056283672</v>
      </c>
      <c r="J53">
        <v>195.164359751588</v>
      </c>
      <c r="K53">
        <v>500.091514873988</v>
      </c>
      <c r="L53">
        <v>1227.16251656223</v>
      </c>
      <c r="M53">
        <v>4057.24832820228</v>
      </c>
      <c r="N53">
        <v>7113.83517471791</v>
      </c>
      <c r="O53">
        <v>2264.57324514438</v>
      </c>
      <c r="P53">
        <v>1214.00623665846</v>
      </c>
      <c r="Q53">
        <v>1045.70894004593</v>
      </c>
      <c r="R53">
        <v>699.097713466782</v>
      </c>
      <c r="S53">
        <v>573.20622280854</v>
      </c>
      <c r="T53">
        <v>287.510628824393</v>
      </c>
      <c r="U53">
        <v>212.738719687209</v>
      </c>
      <c r="V53">
        <v>186.006971469964</v>
      </c>
      <c r="W53">
        <v>167.256640390873</v>
      </c>
      <c r="X53">
        <v>5175.05646087573</v>
      </c>
      <c r="Y53">
        <v>3452.03349329787</v>
      </c>
      <c r="AA53">
        <v>334707435</v>
      </c>
    </row>
    <row r="54" spans="1:27" ht="12.75">
      <c r="A54" t="s">
        <v>254</v>
      </c>
      <c r="B54">
        <v>1088.44311174325</v>
      </c>
      <c r="C54">
        <v>478.344271929385</v>
      </c>
      <c r="D54">
        <v>750.782222754447</v>
      </c>
      <c r="E54">
        <v>982.160058248467</v>
      </c>
      <c r="F54">
        <v>547.564177244859</v>
      </c>
      <c r="G54">
        <v>411.832042036401</v>
      </c>
      <c r="H54">
        <v>276.50837498669</v>
      </c>
      <c r="I54">
        <v>112.740877595543</v>
      </c>
      <c r="J54">
        <v>98.5303556505142</v>
      </c>
      <c r="K54">
        <v>153.330172550309</v>
      </c>
      <c r="L54">
        <v>332.972733716718</v>
      </c>
      <c r="M54">
        <v>809.126661815889</v>
      </c>
      <c r="N54">
        <v>1296.38291567175</v>
      </c>
      <c r="O54">
        <v>603.264900793452</v>
      </c>
      <c r="P54">
        <v>300.37806772622</v>
      </c>
      <c r="Q54">
        <v>295.025516979495</v>
      </c>
      <c r="R54">
        <v>165.406651960358</v>
      </c>
      <c r="S54">
        <v>133.362439918976</v>
      </c>
      <c r="T54">
        <v>93.4205762210197</v>
      </c>
      <c r="U54">
        <v>77.2797410234514</v>
      </c>
      <c r="V54">
        <v>65.1965990208648</v>
      </c>
      <c r="W54">
        <v>76.4580651165884</v>
      </c>
      <c r="X54">
        <v>927.863028927234</v>
      </c>
      <c r="Y54">
        <v>1553.45263754841</v>
      </c>
      <c r="AA54">
        <v>577777889.518164</v>
      </c>
    </row>
    <row r="55" spans="1:27" ht="12.75">
      <c r="A55" t="s">
        <v>255</v>
      </c>
      <c r="B55">
        <v>1224.20062667591</v>
      </c>
      <c r="C55">
        <v>462.118419982304</v>
      </c>
      <c r="D55">
        <v>777.638940666878</v>
      </c>
      <c r="E55">
        <v>982.689630476441</v>
      </c>
      <c r="F55">
        <v>513.675806005036</v>
      </c>
      <c r="G55">
        <v>423.205179557858</v>
      </c>
      <c r="H55">
        <v>307.88425958863</v>
      </c>
      <c r="I55">
        <v>128.558048954279</v>
      </c>
      <c r="J55">
        <v>107.500201596183</v>
      </c>
      <c r="K55">
        <v>172.977541333517</v>
      </c>
      <c r="L55">
        <v>360.575549387457</v>
      </c>
      <c r="M55">
        <v>858.981455562242</v>
      </c>
      <c r="N55">
        <v>1301.53017313352</v>
      </c>
      <c r="O55">
        <v>628.913028069655</v>
      </c>
      <c r="P55">
        <v>325.628364492888</v>
      </c>
      <c r="Q55">
        <v>323.770421359059</v>
      </c>
      <c r="R55">
        <v>164.149142270266</v>
      </c>
      <c r="S55">
        <v>145.004248786926</v>
      </c>
      <c r="T55">
        <v>101.155525607358</v>
      </c>
      <c r="U55">
        <v>80.9327261771902</v>
      </c>
      <c r="V55">
        <v>65.4234296859209</v>
      </c>
      <c r="W55">
        <v>68.3166425628856</v>
      </c>
      <c r="X55">
        <v>787.003260039099</v>
      </c>
      <c r="Y55">
        <v>1557.8823149869</v>
      </c>
      <c r="AA55">
        <v>617553293.306035</v>
      </c>
    </row>
    <row r="56" spans="1:27" ht="12.75">
      <c r="A56" t="s">
        <v>256</v>
      </c>
      <c r="B56">
        <v>2828.30483089251</v>
      </c>
      <c r="C56">
        <v>1194.78989299131</v>
      </c>
      <c r="D56">
        <v>1543.42968893116</v>
      </c>
      <c r="E56">
        <v>2315.40980012784</v>
      </c>
      <c r="F56">
        <v>2620.43098079761</v>
      </c>
      <c r="G56">
        <v>1366.24060332017</v>
      </c>
      <c r="H56">
        <v>830.748915646008</v>
      </c>
      <c r="I56">
        <v>526.038949923481</v>
      </c>
      <c r="J56">
        <v>396.34950095937</v>
      </c>
      <c r="K56">
        <v>761.034538086137</v>
      </c>
      <c r="L56">
        <v>1618.05703287246</v>
      </c>
      <c r="M56">
        <v>4602.45606930566</v>
      </c>
      <c r="N56">
        <v>6567.79098495712</v>
      </c>
      <c r="O56">
        <v>3037.42332202757</v>
      </c>
      <c r="P56">
        <v>2137.91616644989</v>
      </c>
      <c r="Q56">
        <v>2071.86843693964</v>
      </c>
      <c r="R56">
        <v>2743.76812172638</v>
      </c>
      <c r="S56">
        <v>2522.06194264892</v>
      </c>
      <c r="T56">
        <v>1177.62170993758</v>
      </c>
      <c r="U56">
        <v>492.979850814968</v>
      </c>
      <c r="V56">
        <v>334.060013655912</v>
      </c>
      <c r="W56">
        <v>344.05351837367</v>
      </c>
      <c r="X56">
        <v>3978.84876886738</v>
      </c>
      <c r="Y56">
        <v>1748.73982821272</v>
      </c>
      <c r="AA56">
        <v>984940382.1758</v>
      </c>
    </row>
    <row r="57" spans="1:27" ht="12.75">
      <c r="A57" t="s">
        <v>253</v>
      </c>
      <c r="B57">
        <v>1171.47849462365</v>
      </c>
      <c r="C57">
        <v>297.559523809523</v>
      </c>
      <c r="D57">
        <v>222.537878787878</v>
      </c>
      <c r="E57">
        <v>780.708333333333</v>
      </c>
      <c r="F57">
        <v>647.217741935483</v>
      </c>
      <c r="G57">
        <v>276.305555555555</v>
      </c>
      <c r="H57">
        <v>122.002688172043</v>
      </c>
      <c r="I57">
        <v>140.362903225806</v>
      </c>
      <c r="J57">
        <v>721.083333333333</v>
      </c>
      <c r="K57">
        <v>781.774193548387</v>
      </c>
      <c r="L57">
        <v>1057.97222222222</v>
      </c>
      <c r="M57">
        <v>1320.52419354838</v>
      </c>
      <c r="N57">
        <v>2179.46236559139</v>
      </c>
      <c r="O57">
        <v>1374.46428571428</v>
      </c>
      <c r="P57">
        <v>1081.71432062561</v>
      </c>
      <c r="Q57">
        <v>434.222222222222</v>
      </c>
      <c r="R57">
        <v>73.7365591397849</v>
      </c>
      <c r="S57">
        <v>411.986111111111</v>
      </c>
      <c r="T57">
        <v>283.010752688172</v>
      </c>
      <c r="U57">
        <v>106.189170303979</v>
      </c>
      <c r="V57">
        <v>71.4110804701318</v>
      </c>
      <c r="W57">
        <v>63.3080001741994</v>
      </c>
      <c r="X57">
        <v>1025.11687930755</v>
      </c>
      <c r="Y57">
        <v>1792.6884417271</v>
      </c>
      <c r="AA57">
        <v>253521000</v>
      </c>
    </row>
    <row r="58" spans="1:27" ht="12.75">
      <c r="A58" t="s">
        <v>149</v>
      </c>
      <c r="B58">
        <v>2204.01091982668</v>
      </c>
      <c r="C58">
        <v>666.291425760743</v>
      </c>
      <c r="D58">
        <v>1137.54833406448</v>
      </c>
      <c r="E58">
        <v>1599.05278091234</v>
      </c>
      <c r="F58">
        <v>967.758503288335</v>
      </c>
      <c r="G58">
        <v>418.433016730798</v>
      </c>
      <c r="H58">
        <v>311.277108106095</v>
      </c>
      <c r="I58">
        <v>221.897056283672</v>
      </c>
      <c r="J58">
        <v>195.164359751588</v>
      </c>
      <c r="K58">
        <v>500.091514873988</v>
      </c>
      <c r="L58">
        <v>1227.16251656223</v>
      </c>
      <c r="M58">
        <v>4057.24832820228</v>
      </c>
      <c r="N58">
        <v>7113.83517471791</v>
      </c>
      <c r="O58">
        <v>2264.57324514438</v>
      </c>
      <c r="P58">
        <v>1214.00623665846</v>
      </c>
      <c r="Q58">
        <v>1045.70894004593</v>
      </c>
      <c r="R58">
        <v>699.097713466782</v>
      </c>
      <c r="S58">
        <v>573.20622280854</v>
      </c>
      <c r="T58">
        <v>287.510628824393</v>
      </c>
      <c r="U58">
        <v>212.738719687209</v>
      </c>
      <c r="V58">
        <v>186.006971469964</v>
      </c>
      <c r="W58">
        <v>167.256640390873</v>
      </c>
      <c r="X58">
        <v>5175.05646087573</v>
      </c>
      <c r="Y58">
        <v>3452.03349329787</v>
      </c>
      <c r="AA58">
        <v>334707435</v>
      </c>
    </row>
    <row r="59" spans="1:27" ht="12.75">
      <c r="A59" t="s">
        <v>254</v>
      </c>
      <c r="B59">
        <v>1088.44311174325</v>
      </c>
      <c r="C59">
        <v>478.344271929385</v>
      </c>
      <c r="D59">
        <v>750.782222754447</v>
      </c>
      <c r="E59">
        <v>982.160058248467</v>
      </c>
      <c r="F59">
        <v>547.564177244859</v>
      </c>
      <c r="G59">
        <v>411.832042036401</v>
      </c>
      <c r="H59">
        <v>276.50837498669</v>
      </c>
      <c r="I59">
        <v>112.740877595543</v>
      </c>
      <c r="J59">
        <v>98.5303556505142</v>
      </c>
      <c r="K59">
        <v>153.330172550309</v>
      </c>
      <c r="L59">
        <v>332.972733716718</v>
      </c>
      <c r="M59">
        <v>809.126661815889</v>
      </c>
      <c r="N59">
        <v>1296.38291567175</v>
      </c>
      <c r="O59">
        <v>603.264900793452</v>
      </c>
      <c r="P59">
        <v>300.37806772622</v>
      </c>
      <c r="Q59">
        <v>295.025516979495</v>
      </c>
      <c r="R59">
        <v>165.406651960358</v>
      </c>
      <c r="S59">
        <v>133.362439918976</v>
      </c>
      <c r="T59">
        <v>93.4205762210197</v>
      </c>
      <c r="U59">
        <v>77.2797410234514</v>
      </c>
      <c r="V59">
        <v>65.1965990208648</v>
      </c>
      <c r="W59">
        <v>76.4580651165884</v>
      </c>
      <c r="X59">
        <v>927.863028927234</v>
      </c>
      <c r="Y59">
        <v>1553.45263754841</v>
      </c>
      <c r="AA59">
        <v>577777889.518164</v>
      </c>
    </row>
    <row r="60" spans="1:27" ht="12.75">
      <c r="A60" t="s">
        <v>255</v>
      </c>
      <c r="B60">
        <v>1224.20062667591</v>
      </c>
      <c r="C60">
        <v>462.118419982304</v>
      </c>
      <c r="D60">
        <v>777.638940666878</v>
      </c>
      <c r="E60">
        <v>982.689630476441</v>
      </c>
      <c r="F60">
        <v>513.675806005036</v>
      </c>
      <c r="G60">
        <v>423.205179557858</v>
      </c>
      <c r="H60">
        <v>307.88425958863</v>
      </c>
      <c r="I60">
        <v>128.558048954279</v>
      </c>
      <c r="J60">
        <v>107.500201596183</v>
      </c>
      <c r="K60">
        <v>172.977541333517</v>
      </c>
      <c r="L60">
        <v>360.575549387457</v>
      </c>
      <c r="M60">
        <v>858.981455562242</v>
      </c>
      <c r="N60">
        <v>1301.53017313352</v>
      </c>
      <c r="O60">
        <v>628.913028069655</v>
      </c>
      <c r="P60">
        <v>325.628364492888</v>
      </c>
      <c r="Q60">
        <v>323.770421359059</v>
      </c>
      <c r="R60">
        <v>164.149142270266</v>
      </c>
      <c r="S60">
        <v>145.004248786926</v>
      </c>
      <c r="T60">
        <v>101.155525607358</v>
      </c>
      <c r="U60">
        <v>80.9327261771902</v>
      </c>
      <c r="V60">
        <v>65.4234296859209</v>
      </c>
      <c r="W60">
        <v>68.3166425628856</v>
      </c>
      <c r="X60">
        <v>787.003260039099</v>
      </c>
      <c r="Y60">
        <v>1557.8823149869</v>
      </c>
      <c r="AA60">
        <v>617553293.306035</v>
      </c>
    </row>
    <row r="61" spans="1:27" ht="12.75">
      <c r="A61" t="s">
        <v>256</v>
      </c>
      <c r="B61">
        <v>2828.30483089251</v>
      </c>
      <c r="C61">
        <v>1194.78989299131</v>
      </c>
      <c r="D61">
        <v>1543.42968893116</v>
      </c>
      <c r="E61">
        <v>2315.40980012784</v>
      </c>
      <c r="F61">
        <v>2620.43098079761</v>
      </c>
      <c r="G61">
        <v>1366.24060332017</v>
      </c>
      <c r="H61">
        <v>830.748915646008</v>
      </c>
      <c r="I61">
        <v>526.038949923481</v>
      </c>
      <c r="J61">
        <v>396.34950095937</v>
      </c>
      <c r="K61">
        <v>761.034538086137</v>
      </c>
      <c r="L61">
        <v>1618.05703287246</v>
      </c>
      <c r="M61">
        <v>4602.45606930566</v>
      </c>
      <c r="N61">
        <v>6567.79098495712</v>
      </c>
      <c r="O61">
        <v>3037.42332202757</v>
      </c>
      <c r="P61">
        <v>2137.91616644989</v>
      </c>
      <c r="Q61">
        <v>2071.86843693964</v>
      </c>
      <c r="R61">
        <v>2743.76812172638</v>
      </c>
      <c r="S61">
        <v>2522.06194264892</v>
      </c>
      <c r="T61">
        <v>1177.62170993758</v>
      </c>
      <c r="U61">
        <v>492.979850814968</v>
      </c>
      <c r="V61">
        <v>334.060013655912</v>
      </c>
      <c r="W61">
        <v>344.05351837367</v>
      </c>
      <c r="X61">
        <v>3978.84876886738</v>
      </c>
      <c r="Y61">
        <v>1748.73982821272</v>
      </c>
      <c r="AA61">
        <v>984940382.1758</v>
      </c>
    </row>
    <row r="62" spans="1:27" ht="12.75">
      <c r="A62" t="s">
        <v>253</v>
      </c>
      <c r="B62">
        <v>1171.47849462365</v>
      </c>
      <c r="C62">
        <v>297.559523809523</v>
      </c>
      <c r="D62">
        <v>222.537878787878</v>
      </c>
      <c r="E62">
        <v>780.708333333333</v>
      </c>
      <c r="F62">
        <v>647.217741935483</v>
      </c>
      <c r="G62">
        <v>276.305555555555</v>
      </c>
      <c r="H62">
        <v>122.002688172043</v>
      </c>
      <c r="I62">
        <v>140.362903225806</v>
      </c>
      <c r="J62">
        <v>721.083333333333</v>
      </c>
      <c r="K62">
        <v>781.774193548387</v>
      </c>
      <c r="L62">
        <v>1057.97222222222</v>
      </c>
      <c r="M62">
        <v>1320.52419354838</v>
      </c>
      <c r="N62">
        <v>2179.46236559139</v>
      </c>
      <c r="O62">
        <v>1374.46428571428</v>
      </c>
      <c r="P62">
        <v>1081.71432062561</v>
      </c>
      <c r="Q62">
        <v>434.222222222222</v>
      </c>
      <c r="R62">
        <v>73.7365591397849</v>
      </c>
      <c r="S62">
        <v>411.986111111111</v>
      </c>
      <c r="T62">
        <v>283.010752688172</v>
      </c>
      <c r="U62">
        <v>106.189170303979</v>
      </c>
      <c r="V62">
        <v>71.4110804701318</v>
      </c>
      <c r="W62">
        <v>63.3080001741994</v>
      </c>
      <c r="X62">
        <v>1025.11687930755</v>
      </c>
      <c r="Y62">
        <v>1792.6884417271</v>
      </c>
      <c r="AA62">
        <v>253521000</v>
      </c>
    </row>
    <row r="63" spans="1:27" ht="12.75">
      <c r="A63" t="s">
        <v>149</v>
      </c>
      <c r="B63">
        <v>2204.01091982668</v>
      </c>
      <c r="C63">
        <v>666.291425760743</v>
      </c>
      <c r="D63">
        <v>1137.54833406448</v>
      </c>
      <c r="E63">
        <v>1599.05278091234</v>
      </c>
      <c r="F63">
        <v>967.758503288335</v>
      </c>
      <c r="G63">
        <v>418.433016730798</v>
      </c>
      <c r="H63">
        <v>311.277108106095</v>
      </c>
      <c r="I63">
        <v>221.897056283672</v>
      </c>
      <c r="J63">
        <v>195.164359751588</v>
      </c>
      <c r="K63">
        <v>500.091514873988</v>
      </c>
      <c r="L63">
        <v>1227.16251656223</v>
      </c>
      <c r="M63">
        <v>4057.24832820228</v>
      </c>
      <c r="N63">
        <v>7113.83517471791</v>
      </c>
      <c r="O63">
        <v>2264.57324514438</v>
      </c>
      <c r="P63">
        <v>1214.00623665846</v>
      </c>
      <c r="Q63">
        <v>1045.70894004593</v>
      </c>
      <c r="R63">
        <v>699.097713466782</v>
      </c>
      <c r="S63">
        <v>573.20622280854</v>
      </c>
      <c r="T63">
        <v>287.510628824393</v>
      </c>
      <c r="U63">
        <v>212.738719687209</v>
      </c>
      <c r="V63">
        <v>186.006971469964</v>
      </c>
      <c r="W63">
        <v>167.256640390873</v>
      </c>
      <c r="X63">
        <v>5175.05646087573</v>
      </c>
      <c r="Y63">
        <v>3452.03349329787</v>
      </c>
      <c r="AA63">
        <v>334707435</v>
      </c>
    </row>
    <row r="64" spans="1:27" ht="12.75">
      <c r="A64" t="s">
        <v>254</v>
      </c>
      <c r="B64">
        <v>1088.44311174325</v>
      </c>
      <c r="C64">
        <v>478.344271929385</v>
      </c>
      <c r="D64">
        <v>750.782222754447</v>
      </c>
      <c r="E64">
        <v>982.160058248467</v>
      </c>
      <c r="F64">
        <v>547.564177244859</v>
      </c>
      <c r="G64">
        <v>411.832042036401</v>
      </c>
      <c r="H64">
        <v>276.50837498669</v>
      </c>
      <c r="I64">
        <v>112.740877595543</v>
      </c>
      <c r="J64">
        <v>98.5303556505142</v>
      </c>
      <c r="K64">
        <v>153.330172550309</v>
      </c>
      <c r="L64">
        <v>332.972733716718</v>
      </c>
      <c r="M64">
        <v>809.126661815889</v>
      </c>
      <c r="N64">
        <v>1296.38291567175</v>
      </c>
      <c r="O64">
        <v>603.264900793452</v>
      </c>
      <c r="P64">
        <v>300.37806772622</v>
      </c>
      <c r="Q64">
        <v>295.025516979495</v>
      </c>
      <c r="R64">
        <v>165.406651960358</v>
      </c>
      <c r="S64">
        <v>133.362439918976</v>
      </c>
      <c r="T64">
        <v>93.4205762210197</v>
      </c>
      <c r="U64">
        <v>77.2797410234514</v>
      </c>
      <c r="V64">
        <v>65.1965990208648</v>
      </c>
      <c r="W64">
        <v>76.4580651165884</v>
      </c>
      <c r="X64">
        <v>927.863028927234</v>
      </c>
      <c r="Y64">
        <v>1553.45263754841</v>
      </c>
      <c r="AA64">
        <v>577777889.518164</v>
      </c>
    </row>
    <row r="65" spans="1:27" ht="12.75">
      <c r="A65" t="s">
        <v>255</v>
      </c>
      <c r="B65">
        <v>1224.20062667591</v>
      </c>
      <c r="C65">
        <v>462.118419982304</v>
      </c>
      <c r="D65">
        <v>777.638940666878</v>
      </c>
      <c r="E65">
        <v>982.689630476441</v>
      </c>
      <c r="F65">
        <v>513.675806005036</v>
      </c>
      <c r="G65">
        <v>423.205179557858</v>
      </c>
      <c r="H65">
        <v>307.88425958863</v>
      </c>
      <c r="I65">
        <v>128.558048954279</v>
      </c>
      <c r="J65">
        <v>107.500201596183</v>
      </c>
      <c r="K65">
        <v>172.977541333517</v>
      </c>
      <c r="L65">
        <v>360.575549387457</v>
      </c>
      <c r="M65">
        <v>858.981455562242</v>
      </c>
      <c r="N65">
        <v>1301.53017313352</v>
      </c>
      <c r="O65">
        <v>628.913028069655</v>
      </c>
      <c r="P65">
        <v>325.628364492888</v>
      </c>
      <c r="Q65">
        <v>323.770421359059</v>
      </c>
      <c r="R65">
        <v>164.149142270266</v>
      </c>
      <c r="S65">
        <v>145.004248786926</v>
      </c>
      <c r="T65">
        <v>101.155525607358</v>
      </c>
      <c r="U65">
        <v>80.9327261771902</v>
      </c>
      <c r="V65">
        <v>65.4234296859209</v>
      </c>
      <c r="W65">
        <v>68.3166425628856</v>
      </c>
      <c r="X65">
        <v>787.003260039099</v>
      </c>
      <c r="Y65">
        <v>1557.8823149869</v>
      </c>
      <c r="AA65">
        <v>617553293.306035</v>
      </c>
    </row>
    <row r="66" spans="1:27" ht="12.75">
      <c r="A66" t="s">
        <v>256</v>
      </c>
      <c r="B66">
        <v>2828.30483089251</v>
      </c>
      <c r="C66">
        <v>1194.78989299131</v>
      </c>
      <c r="D66">
        <v>1543.42968893116</v>
      </c>
      <c r="E66">
        <v>2315.40980012784</v>
      </c>
      <c r="F66">
        <v>2620.43098079761</v>
      </c>
      <c r="G66">
        <v>1366.24060332017</v>
      </c>
      <c r="H66">
        <v>830.748915646008</v>
      </c>
      <c r="I66">
        <v>526.038949923481</v>
      </c>
      <c r="J66">
        <v>396.34950095937</v>
      </c>
      <c r="K66">
        <v>761.034538086137</v>
      </c>
      <c r="L66">
        <v>1618.05703287246</v>
      </c>
      <c r="M66">
        <v>4602.45606930566</v>
      </c>
      <c r="N66">
        <v>6567.79098495712</v>
      </c>
      <c r="O66">
        <v>3037.42332202757</v>
      </c>
      <c r="P66">
        <v>2137.91616644989</v>
      </c>
      <c r="Q66">
        <v>2071.86843693964</v>
      </c>
      <c r="R66">
        <v>2743.76812172638</v>
      </c>
      <c r="S66">
        <v>2522.06194264892</v>
      </c>
      <c r="T66">
        <v>1177.62170993758</v>
      </c>
      <c r="U66">
        <v>492.979850814968</v>
      </c>
      <c r="V66">
        <v>334.060013655912</v>
      </c>
      <c r="W66">
        <v>344.05351837367</v>
      </c>
      <c r="X66">
        <v>3978.84876886738</v>
      </c>
      <c r="Y66">
        <v>1748.73982821272</v>
      </c>
      <c r="AA66">
        <v>984940382.1758</v>
      </c>
    </row>
    <row r="67" spans="1:27" ht="12.75">
      <c r="A67" t="s">
        <v>253</v>
      </c>
      <c r="B67">
        <v>1171.47849462365</v>
      </c>
      <c r="C67">
        <v>297.559523809523</v>
      </c>
      <c r="D67">
        <v>222.537878787878</v>
      </c>
      <c r="E67">
        <v>780.708333333333</v>
      </c>
      <c r="F67">
        <v>647.217741935483</v>
      </c>
      <c r="G67">
        <v>276.305555555555</v>
      </c>
      <c r="H67">
        <v>122.002688172043</v>
      </c>
      <c r="I67">
        <v>140.362903225806</v>
      </c>
      <c r="J67">
        <v>721.083333333333</v>
      </c>
      <c r="K67">
        <v>781.774193548387</v>
      </c>
      <c r="L67">
        <v>1057.97222222222</v>
      </c>
      <c r="M67">
        <v>1320.52419354838</v>
      </c>
      <c r="N67">
        <v>2179.46236559139</v>
      </c>
      <c r="O67">
        <v>1374.46428571428</v>
      </c>
      <c r="P67">
        <v>1081.71432062561</v>
      </c>
      <c r="Q67">
        <v>434.222222222222</v>
      </c>
      <c r="R67">
        <v>73.7365591397849</v>
      </c>
      <c r="S67">
        <v>411.986111111111</v>
      </c>
      <c r="T67">
        <v>283.010752688172</v>
      </c>
      <c r="U67">
        <v>106.189170303979</v>
      </c>
      <c r="V67">
        <v>71.4110804701318</v>
      </c>
      <c r="W67">
        <v>63.3080001741994</v>
      </c>
      <c r="X67">
        <v>1025.11687930755</v>
      </c>
      <c r="Y67">
        <v>1792.6884417271</v>
      </c>
      <c r="AA67">
        <v>253521000</v>
      </c>
    </row>
    <row r="68" spans="1:27" ht="12.75">
      <c r="A68" t="s">
        <v>149</v>
      </c>
      <c r="B68">
        <v>2204.01091982668</v>
      </c>
      <c r="C68">
        <v>666.291425760743</v>
      </c>
      <c r="D68">
        <v>1137.54833406448</v>
      </c>
      <c r="E68">
        <v>1599.05278091234</v>
      </c>
      <c r="F68">
        <v>967.758503288335</v>
      </c>
      <c r="G68">
        <v>418.433016730798</v>
      </c>
      <c r="H68">
        <v>311.277108106095</v>
      </c>
      <c r="I68">
        <v>221.897056283672</v>
      </c>
      <c r="J68">
        <v>195.164359751588</v>
      </c>
      <c r="K68">
        <v>500.091514873988</v>
      </c>
      <c r="L68">
        <v>1227.16251656223</v>
      </c>
      <c r="M68">
        <v>4057.24832820228</v>
      </c>
      <c r="N68">
        <v>7113.83517471791</v>
      </c>
      <c r="O68">
        <v>2264.57324514438</v>
      </c>
      <c r="P68">
        <v>1214.00623665846</v>
      </c>
      <c r="Q68">
        <v>1045.70894004593</v>
      </c>
      <c r="R68">
        <v>699.097713466782</v>
      </c>
      <c r="S68">
        <v>573.20622280854</v>
      </c>
      <c r="T68">
        <v>287.510628824393</v>
      </c>
      <c r="U68">
        <v>212.738719687209</v>
      </c>
      <c r="V68">
        <v>186.006971469964</v>
      </c>
      <c r="W68">
        <v>167.256640390873</v>
      </c>
      <c r="X68">
        <v>5175.05646087573</v>
      </c>
      <c r="Y68">
        <v>3452.03349329787</v>
      </c>
      <c r="AA68">
        <v>334707435</v>
      </c>
    </row>
    <row r="69" spans="1:27" ht="12.75">
      <c r="A69" t="s">
        <v>254</v>
      </c>
      <c r="B69">
        <v>1088.44311174325</v>
      </c>
      <c r="C69">
        <v>478.344271929385</v>
      </c>
      <c r="D69">
        <v>750.782222754447</v>
      </c>
      <c r="E69">
        <v>982.160058248467</v>
      </c>
      <c r="F69">
        <v>547.564177244859</v>
      </c>
      <c r="G69">
        <v>411.832042036401</v>
      </c>
      <c r="H69">
        <v>276.50837498669</v>
      </c>
      <c r="I69">
        <v>112.740877595543</v>
      </c>
      <c r="J69">
        <v>98.5303556505142</v>
      </c>
      <c r="K69">
        <v>153.330172550309</v>
      </c>
      <c r="L69">
        <v>332.972733716718</v>
      </c>
      <c r="M69">
        <v>809.126661815889</v>
      </c>
      <c r="N69">
        <v>1296.38291567175</v>
      </c>
      <c r="O69">
        <v>603.264900793452</v>
      </c>
      <c r="P69">
        <v>300.37806772622</v>
      </c>
      <c r="Q69">
        <v>295.025516979495</v>
      </c>
      <c r="R69">
        <v>165.406651960358</v>
      </c>
      <c r="S69">
        <v>133.362439918976</v>
      </c>
      <c r="T69">
        <v>93.4205762210197</v>
      </c>
      <c r="U69">
        <v>77.2797410234514</v>
      </c>
      <c r="V69">
        <v>65.1965990208648</v>
      </c>
      <c r="W69">
        <v>76.4580651165884</v>
      </c>
      <c r="X69">
        <v>927.863028927234</v>
      </c>
      <c r="Y69">
        <v>1553.45263754841</v>
      </c>
      <c r="AA69">
        <v>577777889.518164</v>
      </c>
    </row>
    <row r="70" spans="1:27" ht="12.75">
      <c r="A70" t="s">
        <v>255</v>
      </c>
      <c r="B70">
        <v>1224.20062667591</v>
      </c>
      <c r="C70">
        <v>462.118419982304</v>
      </c>
      <c r="D70">
        <v>777.638940666878</v>
      </c>
      <c r="E70">
        <v>982.689630476441</v>
      </c>
      <c r="F70">
        <v>513.675806005036</v>
      </c>
      <c r="G70">
        <v>423.205179557858</v>
      </c>
      <c r="H70">
        <v>307.88425958863</v>
      </c>
      <c r="I70">
        <v>128.558048954279</v>
      </c>
      <c r="J70">
        <v>107.500201596183</v>
      </c>
      <c r="K70">
        <v>172.977541333517</v>
      </c>
      <c r="L70">
        <v>360.575549387457</v>
      </c>
      <c r="M70">
        <v>858.981455562242</v>
      </c>
      <c r="N70">
        <v>1301.53017313352</v>
      </c>
      <c r="O70">
        <v>628.913028069655</v>
      </c>
      <c r="P70">
        <v>325.628364492888</v>
      </c>
      <c r="Q70">
        <v>323.770421359059</v>
      </c>
      <c r="R70">
        <v>164.149142270266</v>
      </c>
      <c r="S70">
        <v>145.004248786926</v>
      </c>
      <c r="T70">
        <v>101.155525607358</v>
      </c>
      <c r="U70">
        <v>80.9327261771902</v>
      </c>
      <c r="V70">
        <v>65.4234296859209</v>
      </c>
      <c r="W70">
        <v>68.3166425628856</v>
      </c>
      <c r="X70">
        <v>787.003260039099</v>
      </c>
      <c r="Y70">
        <v>1557.8823149869</v>
      </c>
      <c r="AA70">
        <v>617553293.306035</v>
      </c>
    </row>
    <row r="71" spans="1:27" ht="12.75">
      <c r="A71" t="s">
        <v>256</v>
      </c>
      <c r="B71">
        <v>2828.30483089251</v>
      </c>
      <c r="C71">
        <v>1194.78989299131</v>
      </c>
      <c r="D71">
        <v>1543.42968893116</v>
      </c>
      <c r="E71">
        <v>2315.40980012784</v>
      </c>
      <c r="F71">
        <v>2620.43098079761</v>
      </c>
      <c r="G71">
        <v>1366.24060332017</v>
      </c>
      <c r="H71">
        <v>830.748915646008</v>
      </c>
      <c r="I71">
        <v>526.038949923481</v>
      </c>
      <c r="J71">
        <v>396.34950095937</v>
      </c>
      <c r="K71">
        <v>761.034538086137</v>
      </c>
      <c r="L71">
        <v>1618.05703287246</v>
      </c>
      <c r="M71">
        <v>4602.45606930566</v>
      </c>
      <c r="N71">
        <v>6567.79098495712</v>
      </c>
      <c r="O71">
        <v>3037.42332202757</v>
      </c>
      <c r="P71">
        <v>2137.91616644989</v>
      </c>
      <c r="Q71">
        <v>2071.86843693964</v>
      </c>
      <c r="R71">
        <v>2743.76812172638</v>
      </c>
      <c r="S71">
        <v>2522.06194264892</v>
      </c>
      <c r="T71">
        <v>1177.62170993758</v>
      </c>
      <c r="U71">
        <v>492.979850814968</v>
      </c>
      <c r="V71">
        <v>334.060013655912</v>
      </c>
      <c r="W71">
        <v>344.05351837367</v>
      </c>
      <c r="X71">
        <v>3978.84876886738</v>
      </c>
      <c r="Y71">
        <v>1748.73982821272</v>
      </c>
      <c r="AA71">
        <v>984940382.1758</v>
      </c>
    </row>
    <row r="72" spans="1:27" ht="12.75">
      <c r="A72" t="s">
        <v>253</v>
      </c>
      <c r="B72">
        <v>1171.47849462365</v>
      </c>
      <c r="C72">
        <v>297.559523809523</v>
      </c>
      <c r="D72">
        <v>222.537878787878</v>
      </c>
      <c r="E72">
        <v>780.708333333333</v>
      </c>
      <c r="F72">
        <v>647.217741935483</v>
      </c>
      <c r="G72">
        <v>276.305555555555</v>
      </c>
      <c r="H72">
        <v>122.002688172043</v>
      </c>
      <c r="I72">
        <v>140.362903225806</v>
      </c>
      <c r="J72">
        <v>721.083333333333</v>
      </c>
      <c r="K72">
        <v>781.774193548387</v>
      </c>
      <c r="L72">
        <v>1057.97222222222</v>
      </c>
      <c r="M72">
        <v>1320.52419354838</v>
      </c>
      <c r="N72">
        <v>2179.46236559139</v>
      </c>
      <c r="O72">
        <v>1374.46428571428</v>
      </c>
      <c r="P72">
        <v>1081.71432062561</v>
      </c>
      <c r="Q72">
        <v>434.222222222222</v>
      </c>
      <c r="R72">
        <v>73.7365591397849</v>
      </c>
      <c r="S72">
        <v>411.986111111111</v>
      </c>
      <c r="T72">
        <v>283.010752688172</v>
      </c>
      <c r="U72">
        <v>106.189170303979</v>
      </c>
      <c r="V72">
        <v>71.4110804701318</v>
      </c>
      <c r="W72">
        <v>63.3080001741994</v>
      </c>
      <c r="X72">
        <v>1025.11687930755</v>
      </c>
      <c r="Y72">
        <v>1792.6884417271</v>
      </c>
      <c r="AA72">
        <v>253521000</v>
      </c>
    </row>
    <row r="73" spans="1:27" ht="12.75">
      <c r="A73" t="s">
        <v>149</v>
      </c>
      <c r="B73">
        <v>2204.01091982668</v>
      </c>
      <c r="C73">
        <v>666.291425760743</v>
      </c>
      <c r="D73">
        <v>1137.54833406448</v>
      </c>
      <c r="E73">
        <v>1599.05278091234</v>
      </c>
      <c r="F73">
        <v>967.758503288335</v>
      </c>
      <c r="G73">
        <v>418.433016730798</v>
      </c>
      <c r="H73">
        <v>311.277108106095</v>
      </c>
      <c r="I73">
        <v>221.897056283672</v>
      </c>
      <c r="J73">
        <v>195.164359751588</v>
      </c>
      <c r="K73">
        <v>500.091514873988</v>
      </c>
      <c r="L73">
        <v>1227.16251656223</v>
      </c>
      <c r="M73">
        <v>4057.24832820228</v>
      </c>
      <c r="N73">
        <v>7113.83517471791</v>
      </c>
      <c r="O73">
        <v>2264.57324514438</v>
      </c>
      <c r="P73">
        <v>1214.00623665846</v>
      </c>
      <c r="Q73">
        <v>1045.70894004593</v>
      </c>
      <c r="R73">
        <v>699.097713466782</v>
      </c>
      <c r="S73">
        <v>573.20622280854</v>
      </c>
      <c r="T73">
        <v>287.510628824393</v>
      </c>
      <c r="U73">
        <v>212.738719687209</v>
      </c>
      <c r="V73">
        <v>186.006971469964</v>
      </c>
      <c r="W73">
        <v>167.256640390873</v>
      </c>
      <c r="X73">
        <v>5175.05646087573</v>
      </c>
      <c r="Y73">
        <v>3452.03349329787</v>
      </c>
      <c r="AA73">
        <v>334707435</v>
      </c>
    </row>
    <row r="74" spans="1:27" ht="12.75">
      <c r="A74" t="s">
        <v>254</v>
      </c>
      <c r="B74">
        <v>1088.44311174325</v>
      </c>
      <c r="C74">
        <v>478.344271929385</v>
      </c>
      <c r="D74">
        <v>750.782222754447</v>
      </c>
      <c r="E74">
        <v>982.160058248467</v>
      </c>
      <c r="F74">
        <v>547.564177244859</v>
      </c>
      <c r="G74">
        <v>411.832042036401</v>
      </c>
      <c r="H74">
        <v>276.50837498669</v>
      </c>
      <c r="I74">
        <v>112.740877595543</v>
      </c>
      <c r="J74">
        <v>98.5303556505142</v>
      </c>
      <c r="K74">
        <v>153.330172550309</v>
      </c>
      <c r="L74">
        <v>332.972733716718</v>
      </c>
      <c r="M74">
        <v>809.126661815889</v>
      </c>
      <c r="N74">
        <v>1296.38291567175</v>
      </c>
      <c r="O74">
        <v>603.264900793452</v>
      </c>
      <c r="P74">
        <v>300.37806772622</v>
      </c>
      <c r="Q74">
        <v>295.025516979495</v>
      </c>
      <c r="R74">
        <v>165.406651960358</v>
      </c>
      <c r="S74">
        <v>133.362439918976</v>
      </c>
      <c r="T74">
        <v>93.4205762210197</v>
      </c>
      <c r="U74">
        <v>77.2797410234514</v>
      </c>
      <c r="V74">
        <v>65.1965990208648</v>
      </c>
      <c r="W74">
        <v>76.4580651165884</v>
      </c>
      <c r="X74">
        <v>927.863028927234</v>
      </c>
      <c r="Y74">
        <v>1553.45263754841</v>
      </c>
      <c r="AA74">
        <v>577777889.518164</v>
      </c>
    </row>
    <row r="75" spans="1:27" ht="12.75">
      <c r="A75" t="s">
        <v>255</v>
      </c>
      <c r="B75">
        <v>1224.20062667591</v>
      </c>
      <c r="C75">
        <v>462.118419982304</v>
      </c>
      <c r="D75">
        <v>777.638940666878</v>
      </c>
      <c r="E75">
        <v>982.689630476441</v>
      </c>
      <c r="F75">
        <v>513.675806005036</v>
      </c>
      <c r="G75">
        <v>423.205179557858</v>
      </c>
      <c r="H75">
        <v>307.88425958863</v>
      </c>
      <c r="I75">
        <v>128.558048954279</v>
      </c>
      <c r="J75">
        <v>107.500201596183</v>
      </c>
      <c r="K75">
        <v>172.977541333517</v>
      </c>
      <c r="L75">
        <v>360.575549387457</v>
      </c>
      <c r="M75">
        <v>858.981455562242</v>
      </c>
      <c r="N75">
        <v>1301.53017313352</v>
      </c>
      <c r="O75">
        <v>628.913028069655</v>
      </c>
      <c r="P75">
        <v>325.628364492888</v>
      </c>
      <c r="Q75">
        <v>323.770421359059</v>
      </c>
      <c r="R75">
        <v>164.149142270266</v>
      </c>
      <c r="S75">
        <v>145.004248786926</v>
      </c>
      <c r="T75">
        <v>101.155525607358</v>
      </c>
      <c r="U75">
        <v>80.9327261771902</v>
      </c>
      <c r="V75">
        <v>65.4234296859209</v>
      </c>
      <c r="W75">
        <v>68.3166425628856</v>
      </c>
      <c r="X75">
        <v>787.003260039099</v>
      </c>
      <c r="Y75">
        <v>1557.8823149869</v>
      </c>
      <c r="AA75">
        <v>617553293.306035</v>
      </c>
    </row>
    <row r="76" spans="1:27" ht="12.75">
      <c r="A76" t="s">
        <v>256</v>
      </c>
      <c r="B76">
        <v>2828.30483089251</v>
      </c>
      <c r="C76">
        <v>1194.78989299131</v>
      </c>
      <c r="D76">
        <v>1543.42968893116</v>
      </c>
      <c r="E76">
        <v>2315.40980012784</v>
      </c>
      <c r="F76">
        <v>2620.43098079761</v>
      </c>
      <c r="G76">
        <v>1366.24060332017</v>
      </c>
      <c r="H76">
        <v>830.748915646008</v>
      </c>
      <c r="I76">
        <v>526.038949923481</v>
      </c>
      <c r="J76">
        <v>396.34950095937</v>
      </c>
      <c r="K76">
        <v>761.034538086137</v>
      </c>
      <c r="L76">
        <v>1618.05703287246</v>
      </c>
      <c r="M76">
        <v>4602.45606930566</v>
      </c>
      <c r="N76">
        <v>6567.79098495712</v>
      </c>
      <c r="O76">
        <v>3037.42332202757</v>
      </c>
      <c r="P76">
        <v>2137.91616644989</v>
      </c>
      <c r="Q76">
        <v>2071.86843693964</v>
      </c>
      <c r="R76">
        <v>2743.76812172638</v>
      </c>
      <c r="S76">
        <v>2522.06194264892</v>
      </c>
      <c r="T76">
        <v>1177.62170993758</v>
      </c>
      <c r="U76">
        <v>492.979850814968</v>
      </c>
      <c r="V76">
        <v>334.060013655912</v>
      </c>
      <c r="W76">
        <v>344.05351837367</v>
      </c>
      <c r="X76">
        <v>3978.84876886738</v>
      </c>
      <c r="Y76">
        <v>1748.73982821272</v>
      </c>
      <c r="AA76">
        <v>984940382.1758</v>
      </c>
    </row>
    <row r="77" spans="1:27" ht="12.75">
      <c r="A77" t="s">
        <v>253</v>
      </c>
      <c r="B77">
        <v>1171.47849462365</v>
      </c>
      <c r="C77">
        <v>297.559523809523</v>
      </c>
      <c r="D77">
        <v>222.537878787878</v>
      </c>
      <c r="E77">
        <v>780.708333333333</v>
      </c>
      <c r="F77">
        <v>647.217741935483</v>
      </c>
      <c r="G77">
        <v>276.305555555555</v>
      </c>
      <c r="H77">
        <v>122.002688172043</v>
      </c>
      <c r="I77">
        <v>140.362903225806</v>
      </c>
      <c r="J77">
        <v>721.083333333333</v>
      </c>
      <c r="K77">
        <v>781.774193548387</v>
      </c>
      <c r="L77">
        <v>1057.97222222222</v>
      </c>
      <c r="M77">
        <v>1320.52419354838</v>
      </c>
      <c r="N77">
        <v>2179.46236559139</v>
      </c>
      <c r="O77">
        <v>1374.46428571428</v>
      </c>
      <c r="P77">
        <v>1081.71432062561</v>
      </c>
      <c r="Q77">
        <v>434.222222222222</v>
      </c>
      <c r="R77">
        <v>73.7365591397849</v>
      </c>
      <c r="S77">
        <v>411.986111111111</v>
      </c>
      <c r="T77">
        <v>283.010752688172</v>
      </c>
      <c r="U77">
        <v>106.189170303979</v>
      </c>
      <c r="V77">
        <v>71.4110804701318</v>
      </c>
      <c r="W77">
        <v>63.3080001741994</v>
      </c>
      <c r="X77">
        <v>1025.11687930755</v>
      </c>
      <c r="Y77">
        <v>1792.6884417271</v>
      </c>
      <c r="AA77">
        <v>253521000</v>
      </c>
    </row>
    <row r="78" spans="1:27" ht="12.75">
      <c r="A78" t="s">
        <v>149</v>
      </c>
      <c r="B78">
        <v>2204.01091982668</v>
      </c>
      <c r="C78">
        <v>666.291425760743</v>
      </c>
      <c r="D78">
        <v>1137.54833406448</v>
      </c>
      <c r="E78">
        <v>1599.05278091234</v>
      </c>
      <c r="F78">
        <v>967.758503288335</v>
      </c>
      <c r="G78">
        <v>418.433016730798</v>
      </c>
      <c r="H78">
        <v>311.277108106095</v>
      </c>
      <c r="I78">
        <v>221.897056283672</v>
      </c>
      <c r="J78">
        <v>195.164359751588</v>
      </c>
      <c r="K78">
        <v>500.091514873988</v>
      </c>
      <c r="L78">
        <v>1227.16251656223</v>
      </c>
      <c r="M78">
        <v>4057.24832820228</v>
      </c>
      <c r="N78">
        <v>7113.83517471791</v>
      </c>
      <c r="O78">
        <v>2264.57324514438</v>
      </c>
      <c r="P78">
        <v>1214.00623665846</v>
      </c>
      <c r="Q78">
        <v>1045.70894004593</v>
      </c>
      <c r="R78">
        <v>699.097713466782</v>
      </c>
      <c r="S78">
        <v>573.20622280854</v>
      </c>
      <c r="T78">
        <v>287.510628824393</v>
      </c>
      <c r="U78">
        <v>212.738719687209</v>
      </c>
      <c r="V78">
        <v>186.006971469964</v>
      </c>
      <c r="W78">
        <v>167.256640390873</v>
      </c>
      <c r="X78">
        <v>5175.05646087573</v>
      </c>
      <c r="Y78">
        <v>3452.03349329787</v>
      </c>
      <c r="AA78">
        <v>334707435</v>
      </c>
    </row>
    <row r="79" spans="1:27" ht="12.75">
      <c r="A79" t="s">
        <v>254</v>
      </c>
      <c r="B79">
        <v>1088.44311174325</v>
      </c>
      <c r="C79">
        <v>478.344271929385</v>
      </c>
      <c r="D79">
        <v>750.782222754447</v>
      </c>
      <c r="E79">
        <v>982.160058248467</v>
      </c>
      <c r="F79">
        <v>547.564177244859</v>
      </c>
      <c r="G79">
        <v>411.832042036401</v>
      </c>
      <c r="H79">
        <v>276.50837498669</v>
      </c>
      <c r="I79">
        <v>112.740877595543</v>
      </c>
      <c r="J79">
        <v>98.5303556505142</v>
      </c>
      <c r="K79">
        <v>153.330172550309</v>
      </c>
      <c r="L79">
        <v>332.972733716718</v>
      </c>
      <c r="M79">
        <v>809.126661815889</v>
      </c>
      <c r="N79">
        <v>1296.38291567175</v>
      </c>
      <c r="O79">
        <v>603.264900793452</v>
      </c>
      <c r="P79">
        <v>300.37806772622</v>
      </c>
      <c r="Q79">
        <v>295.025516979495</v>
      </c>
      <c r="R79">
        <v>165.406651960358</v>
      </c>
      <c r="S79">
        <v>133.362439918976</v>
      </c>
      <c r="T79">
        <v>93.4205762210197</v>
      </c>
      <c r="U79">
        <v>77.2797410234514</v>
      </c>
      <c r="V79">
        <v>65.1965990208648</v>
      </c>
      <c r="W79">
        <v>76.4580651165884</v>
      </c>
      <c r="X79">
        <v>927.863028927234</v>
      </c>
      <c r="Y79">
        <v>1553.45263754841</v>
      </c>
      <c r="AA79">
        <v>577777889.518164</v>
      </c>
    </row>
    <row r="80" spans="1:27" ht="12.75">
      <c r="A80" t="s">
        <v>255</v>
      </c>
      <c r="B80">
        <v>1224.20062667591</v>
      </c>
      <c r="C80">
        <v>462.118419982304</v>
      </c>
      <c r="D80">
        <v>777.638940666878</v>
      </c>
      <c r="E80">
        <v>982.689630476441</v>
      </c>
      <c r="F80">
        <v>513.675806005036</v>
      </c>
      <c r="G80">
        <v>423.205179557858</v>
      </c>
      <c r="H80">
        <v>307.88425958863</v>
      </c>
      <c r="I80">
        <v>128.558048954279</v>
      </c>
      <c r="J80">
        <v>107.500201596183</v>
      </c>
      <c r="K80">
        <v>172.977541333517</v>
      </c>
      <c r="L80">
        <v>360.575549387457</v>
      </c>
      <c r="M80">
        <v>858.981455562242</v>
      </c>
      <c r="N80">
        <v>1301.53017313352</v>
      </c>
      <c r="O80">
        <v>628.913028069655</v>
      </c>
      <c r="P80">
        <v>325.628364492888</v>
      </c>
      <c r="Q80">
        <v>323.770421359059</v>
      </c>
      <c r="R80">
        <v>164.149142270266</v>
      </c>
      <c r="S80">
        <v>145.004248786926</v>
      </c>
      <c r="T80">
        <v>101.155525607358</v>
      </c>
      <c r="U80">
        <v>80.9327261771902</v>
      </c>
      <c r="V80">
        <v>65.4234296859209</v>
      </c>
      <c r="W80">
        <v>68.3166425628856</v>
      </c>
      <c r="X80">
        <v>787.003260039099</v>
      </c>
      <c r="Y80">
        <v>1557.8823149869</v>
      </c>
      <c r="AA80">
        <v>617553293.306035</v>
      </c>
    </row>
    <row r="81" spans="1:27" ht="12.75">
      <c r="A81" t="s">
        <v>256</v>
      </c>
      <c r="B81">
        <v>2828.30483089251</v>
      </c>
      <c r="C81">
        <v>1194.78989299131</v>
      </c>
      <c r="D81">
        <v>1543.42968893116</v>
      </c>
      <c r="E81">
        <v>2315.40980012784</v>
      </c>
      <c r="F81">
        <v>2620.43098079761</v>
      </c>
      <c r="G81">
        <v>1366.24060332017</v>
      </c>
      <c r="H81">
        <v>830.748915646008</v>
      </c>
      <c r="I81">
        <v>526.038949923481</v>
      </c>
      <c r="J81">
        <v>396.34950095937</v>
      </c>
      <c r="K81">
        <v>761.034538086137</v>
      </c>
      <c r="L81">
        <v>1618.05703287246</v>
      </c>
      <c r="M81">
        <v>4602.45606930566</v>
      </c>
      <c r="N81">
        <v>6567.79098495712</v>
      </c>
      <c r="O81">
        <v>3037.42332202757</v>
      </c>
      <c r="P81">
        <v>2137.91616644989</v>
      </c>
      <c r="Q81">
        <v>2071.86843693964</v>
      </c>
      <c r="R81">
        <v>2743.76812172638</v>
      </c>
      <c r="S81">
        <v>2522.06194264892</v>
      </c>
      <c r="T81">
        <v>1177.62170993758</v>
      </c>
      <c r="U81">
        <v>492.979850814968</v>
      </c>
      <c r="V81">
        <v>334.060013655912</v>
      </c>
      <c r="W81">
        <v>344.05351837367</v>
      </c>
      <c r="X81">
        <v>3978.84876886738</v>
      </c>
      <c r="Y81">
        <v>1748.73982821272</v>
      </c>
      <c r="AA81">
        <v>984940382.1758</v>
      </c>
    </row>
    <row r="82" spans="1:27" ht="12.75">
      <c r="A82" t="s">
        <v>253</v>
      </c>
      <c r="B82">
        <v>1171.47849462365</v>
      </c>
      <c r="C82">
        <v>297.559523809523</v>
      </c>
      <c r="D82">
        <v>222.537878787878</v>
      </c>
      <c r="E82">
        <v>780.708333333333</v>
      </c>
      <c r="F82">
        <v>647.217741935483</v>
      </c>
      <c r="G82">
        <v>276.305555555555</v>
      </c>
      <c r="H82">
        <v>122.002688172043</v>
      </c>
      <c r="I82">
        <v>140.362903225806</v>
      </c>
      <c r="J82">
        <v>721.083333333333</v>
      </c>
      <c r="K82">
        <v>781.774193548387</v>
      </c>
      <c r="L82">
        <v>1057.97222222222</v>
      </c>
      <c r="M82">
        <v>1320.52419354838</v>
      </c>
      <c r="N82">
        <v>2179.46236559139</v>
      </c>
      <c r="O82">
        <v>1374.46428571428</v>
      </c>
      <c r="P82">
        <v>1081.71432062561</v>
      </c>
      <c r="Q82">
        <v>434.222222222222</v>
      </c>
      <c r="R82">
        <v>73.7365591397849</v>
      </c>
      <c r="S82">
        <v>411.986111111111</v>
      </c>
      <c r="T82">
        <v>283.010752688172</v>
      </c>
      <c r="U82">
        <v>106.189170303979</v>
      </c>
      <c r="V82">
        <v>71.4110804701318</v>
      </c>
      <c r="W82">
        <v>63.3080001741994</v>
      </c>
      <c r="X82">
        <v>1025.11687930755</v>
      </c>
      <c r="Y82">
        <v>1792.6884417271</v>
      </c>
      <c r="AA82">
        <v>253521000</v>
      </c>
    </row>
    <row r="83" spans="1:27" ht="12.75">
      <c r="A83" t="s">
        <v>149</v>
      </c>
      <c r="B83">
        <v>2204.01091982668</v>
      </c>
      <c r="C83">
        <v>666.291425760743</v>
      </c>
      <c r="D83">
        <v>1137.54833406448</v>
      </c>
      <c r="E83">
        <v>1599.05278091234</v>
      </c>
      <c r="F83">
        <v>967.758503288335</v>
      </c>
      <c r="G83">
        <v>418.433016730798</v>
      </c>
      <c r="H83">
        <v>311.277108106095</v>
      </c>
      <c r="I83">
        <v>221.897056283672</v>
      </c>
      <c r="J83">
        <v>195.164359751588</v>
      </c>
      <c r="K83">
        <v>500.091514873988</v>
      </c>
      <c r="L83">
        <v>1227.16251656223</v>
      </c>
      <c r="M83">
        <v>4057.24832820228</v>
      </c>
      <c r="N83">
        <v>7113.83517471791</v>
      </c>
      <c r="O83">
        <v>2264.57324514438</v>
      </c>
      <c r="P83">
        <v>1214.00623665846</v>
      </c>
      <c r="Q83">
        <v>1045.70894004593</v>
      </c>
      <c r="R83">
        <v>699.097713466782</v>
      </c>
      <c r="S83">
        <v>573.20622280854</v>
      </c>
      <c r="T83">
        <v>287.510628824393</v>
      </c>
      <c r="U83">
        <v>212.738719687209</v>
      </c>
      <c r="V83">
        <v>186.006971469964</v>
      </c>
      <c r="W83">
        <v>167.256640390873</v>
      </c>
      <c r="X83">
        <v>5175.05646087573</v>
      </c>
      <c r="Y83">
        <v>3452.03349329787</v>
      </c>
      <c r="AA83">
        <v>334707435</v>
      </c>
    </row>
    <row r="84" spans="1:27" ht="12.75">
      <c r="A84" t="s">
        <v>254</v>
      </c>
      <c r="B84">
        <v>1088.44311174325</v>
      </c>
      <c r="C84">
        <v>478.344271929385</v>
      </c>
      <c r="D84">
        <v>750.782222754447</v>
      </c>
      <c r="E84">
        <v>982.160058248467</v>
      </c>
      <c r="F84">
        <v>547.564177244859</v>
      </c>
      <c r="G84">
        <v>411.832042036401</v>
      </c>
      <c r="H84">
        <v>276.50837498669</v>
      </c>
      <c r="I84">
        <v>112.740877595543</v>
      </c>
      <c r="J84">
        <v>98.5303556505142</v>
      </c>
      <c r="K84">
        <v>153.330172550309</v>
      </c>
      <c r="L84">
        <v>332.972733716718</v>
      </c>
      <c r="M84">
        <v>809.126661815889</v>
      </c>
      <c r="N84">
        <v>1296.38291567175</v>
      </c>
      <c r="O84">
        <v>603.264900793452</v>
      </c>
      <c r="P84">
        <v>300.37806772622</v>
      </c>
      <c r="Q84">
        <v>295.025516979495</v>
      </c>
      <c r="R84">
        <v>165.406651960358</v>
      </c>
      <c r="S84">
        <v>133.362439918976</v>
      </c>
      <c r="T84">
        <v>93.4205762210197</v>
      </c>
      <c r="U84">
        <v>77.2797410234514</v>
      </c>
      <c r="V84">
        <v>65.1965990208648</v>
      </c>
      <c r="W84">
        <v>76.4580651165884</v>
      </c>
      <c r="X84">
        <v>927.863028927234</v>
      </c>
      <c r="Y84">
        <v>1553.45263754841</v>
      </c>
      <c r="AA84">
        <v>577777889.518164</v>
      </c>
    </row>
    <row r="85" spans="1:27" ht="12.75">
      <c r="A85" t="s">
        <v>255</v>
      </c>
      <c r="B85">
        <v>1224.20062667591</v>
      </c>
      <c r="C85">
        <v>462.118419982304</v>
      </c>
      <c r="D85">
        <v>777.638940666878</v>
      </c>
      <c r="E85">
        <v>982.689630476441</v>
      </c>
      <c r="F85">
        <v>513.675806005036</v>
      </c>
      <c r="G85">
        <v>423.205179557858</v>
      </c>
      <c r="H85">
        <v>307.88425958863</v>
      </c>
      <c r="I85">
        <v>128.558048954279</v>
      </c>
      <c r="J85">
        <v>107.500201596183</v>
      </c>
      <c r="K85">
        <v>172.977541333517</v>
      </c>
      <c r="L85">
        <v>360.575549387457</v>
      </c>
      <c r="M85">
        <v>858.981455562242</v>
      </c>
      <c r="N85">
        <v>1301.53017313352</v>
      </c>
      <c r="O85">
        <v>628.913028069655</v>
      </c>
      <c r="P85">
        <v>325.628364492888</v>
      </c>
      <c r="Q85">
        <v>323.770421359059</v>
      </c>
      <c r="R85">
        <v>164.149142270266</v>
      </c>
      <c r="S85">
        <v>145.004248786926</v>
      </c>
      <c r="T85">
        <v>101.155525607358</v>
      </c>
      <c r="U85">
        <v>80.9327261771902</v>
      </c>
      <c r="V85">
        <v>65.4234296859209</v>
      </c>
      <c r="W85">
        <v>68.3166425628856</v>
      </c>
      <c r="X85">
        <v>787.003260039099</v>
      </c>
      <c r="Y85">
        <v>1557.8823149869</v>
      </c>
      <c r="AA85">
        <v>617553293.306035</v>
      </c>
    </row>
    <row r="86" spans="1:27" ht="12.75">
      <c r="A86" t="s">
        <v>256</v>
      </c>
      <c r="B86">
        <v>2828.30483089251</v>
      </c>
      <c r="C86">
        <v>1194.78989299131</v>
      </c>
      <c r="D86">
        <v>1543.42968893116</v>
      </c>
      <c r="E86">
        <v>2315.40980012784</v>
      </c>
      <c r="F86">
        <v>2620.43098079761</v>
      </c>
      <c r="G86">
        <v>1366.24060332017</v>
      </c>
      <c r="H86">
        <v>830.748915646008</v>
      </c>
      <c r="I86">
        <v>526.038949923481</v>
      </c>
      <c r="J86">
        <v>396.34950095937</v>
      </c>
      <c r="K86">
        <v>761.034538086137</v>
      </c>
      <c r="L86">
        <v>1618.05703287246</v>
      </c>
      <c r="M86">
        <v>4602.45606930566</v>
      </c>
      <c r="N86">
        <v>6567.79098495712</v>
      </c>
      <c r="O86">
        <v>3037.42332202757</v>
      </c>
      <c r="P86">
        <v>2137.91616644989</v>
      </c>
      <c r="Q86">
        <v>2071.86843693964</v>
      </c>
      <c r="R86">
        <v>2743.76812172638</v>
      </c>
      <c r="S86">
        <v>2522.06194264892</v>
      </c>
      <c r="T86">
        <v>1177.62170993758</v>
      </c>
      <c r="U86">
        <v>492.979850814968</v>
      </c>
      <c r="V86">
        <v>334.060013655912</v>
      </c>
      <c r="W86">
        <v>344.05351837367</v>
      </c>
      <c r="X86">
        <v>3978.84876886738</v>
      </c>
      <c r="Y86">
        <v>1748.73982821272</v>
      </c>
      <c r="AA86">
        <v>984940382.1758</v>
      </c>
    </row>
    <row r="87" spans="1:27" ht="12.75">
      <c r="A87" t="s">
        <v>253</v>
      </c>
      <c r="B87">
        <v>1171.47849462365</v>
      </c>
      <c r="C87">
        <v>297.559523809523</v>
      </c>
      <c r="D87">
        <v>222.537878787878</v>
      </c>
      <c r="E87">
        <v>780.708333333333</v>
      </c>
      <c r="F87">
        <v>647.217741935483</v>
      </c>
      <c r="G87">
        <v>276.305555555555</v>
      </c>
      <c r="H87">
        <v>122.002688172043</v>
      </c>
      <c r="I87">
        <v>140.362903225806</v>
      </c>
      <c r="J87">
        <v>721.083333333333</v>
      </c>
      <c r="K87">
        <v>781.774193548387</v>
      </c>
      <c r="L87">
        <v>1057.97222222222</v>
      </c>
      <c r="M87">
        <v>1320.52419354838</v>
      </c>
      <c r="N87">
        <v>2179.46236559139</v>
      </c>
      <c r="O87">
        <v>1374.46428571428</v>
      </c>
      <c r="P87">
        <v>1081.71432062561</v>
      </c>
      <c r="Q87">
        <v>434.222222222222</v>
      </c>
      <c r="R87">
        <v>73.7365591397849</v>
      </c>
      <c r="S87">
        <v>411.986111111111</v>
      </c>
      <c r="T87">
        <v>283.010752688172</v>
      </c>
      <c r="U87">
        <v>106.189170303979</v>
      </c>
      <c r="V87">
        <v>71.4110804701318</v>
      </c>
      <c r="W87">
        <v>63.3080001741994</v>
      </c>
      <c r="X87">
        <v>1025.11687930755</v>
      </c>
      <c r="Y87">
        <v>1792.6884417271</v>
      </c>
      <c r="AA87">
        <v>253521000</v>
      </c>
    </row>
    <row r="88" spans="1:27" ht="12.75">
      <c r="A88" t="s">
        <v>149</v>
      </c>
      <c r="B88">
        <v>2204.01091982668</v>
      </c>
      <c r="C88">
        <v>666.291425760743</v>
      </c>
      <c r="D88">
        <v>1137.54833406448</v>
      </c>
      <c r="E88">
        <v>1599.05278091234</v>
      </c>
      <c r="F88">
        <v>967.758503288335</v>
      </c>
      <c r="G88">
        <v>418.433016730798</v>
      </c>
      <c r="H88">
        <v>311.277108106095</v>
      </c>
      <c r="I88">
        <v>221.897056283672</v>
      </c>
      <c r="J88">
        <v>195.164359751588</v>
      </c>
      <c r="K88">
        <v>500.091514873988</v>
      </c>
      <c r="L88">
        <v>1227.16251656223</v>
      </c>
      <c r="M88">
        <v>4057.24832820228</v>
      </c>
      <c r="N88">
        <v>7113.83517471791</v>
      </c>
      <c r="O88">
        <v>2264.57324514438</v>
      </c>
      <c r="P88">
        <v>1214.00623665846</v>
      </c>
      <c r="Q88">
        <v>1045.70894004593</v>
      </c>
      <c r="R88">
        <v>699.097713466782</v>
      </c>
      <c r="S88">
        <v>573.20622280854</v>
      </c>
      <c r="T88">
        <v>287.510628824393</v>
      </c>
      <c r="U88">
        <v>212.738719687209</v>
      </c>
      <c r="V88">
        <v>186.006971469964</v>
      </c>
      <c r="W88">
        <v>167.256640390873</v>
      </c>
      <c r="X88">
        <v>5175.05646087573</v>
      </c>
      <c r="Y88">
        <v>3452.03349329787</v>
      </c>
      <c r="AA88">
        <v>334707435</v>
      </c>
    </row>
    <row r="89" spans="1:27" ht="12.75">
      <c r="A89" t="s">
        <v>254</v>
      </c>
      <c r="B89">
        <v>1088.44311174325</v>
      </c>
      <c r="C89">
        <v>478.344271929385</v>
      </c>
      <c r="D89">
        <v>750.782222754447</v>
      </c>
      <c r="E89">
        <v>982.160058248467</v>
      </c>
      <c r="F89">
        <v>547.564177244859</v>
      </c>
      <c r="G89">
        <v>411.832042036401</v>
      </c>
      <c r="H89">
        <v>276.50837498669</v>
      </c>
      <c r="I89">
        <v>112.740877595543</v>
      </c>
      <c r="J89">
        <v>98.5303556505142</v>
      </c>
      <c r="K89">
        <v>153.330172550309</v>
      </c>
      <c r="L89">
        <v>332.972733716718</v>
      </c>
      <c r="M89">
        <v>809.126661815889</v>
      </c>
      <c r="N89">
        <v>1296.38291567175</v>
      </c>
      <c r="O89">
        <v>603.264900793452</v>
      </c>
      <c r="P89">
        <v>300.37806772622</v>
      </c>
      <c r="Q89">
        <v>295.025516979495</v>
      </c>
      <c r="R89">
        <v>165.406651960358</v>
      </c>
      <c r="S89">
        <v>133.362439918976</v>
      </c>
      <c r="T89">
        <v>93.4205762210197</v>
      </c>
      <c r="U89">
        <v>77.2797410234514</v>
      </c>
      <c r="V89">
        <v>65.1965990208648</v>
      </c>
      <c r="W89">
        <v>76.4580651165884</v>
      </c>
      <c r="X89">
        <v>927.863028927234</v>
      </c>
      <c r="Y89">
        <v>1553.45263754841</v>
      </c>
      <c r="AA89">
        <v>577777889.518164</v>
      </c>
    </row>
    <row r="90" spans="1:27" ht="12.75">
      <c r="A90" t="s">
        <v>255</v>
      </c>
      <c r="B90">
        <v>1224.20062667591</v>
      </c>
      <c r="C90">
        <v>462.118419982304</v>
      </c>
      <c r="D90">
        <v>777.638940666878</v>
      </c>
      <c r="E90">
        <v>982.689630476441</v>
      </c>
      <c r="F90">
        <v>513.675806005036</v>
      </c>
      <c r="G90">
        <v>423.205179557858</v>
      </c>
      <c r="H90">
        <v>307.88425958863</v>
      </c>
      <c r="I90">
        <v>128.558048954279</v>
      </c>
      <c r="J90">
        <v>107.500201596183</v>
      </c>
      <c r="K90">
        <v>172.977541333517</v>
      </c>
      <c r="L90">
        <v>360.575549387457</v>
      </c>
      <c r="M90">
        <v>858.981455562242</v>
      </c>
      <c r="N90">
        <v>1301.53017313352</v>
      </c>
      <c r="O90">
        <v>628.913028069655</v>
      </c>
      <c r="P90">
        <v>325.628364492888</v>
      </c>
      <c r="Q90">
        <v>323.770421359059</v>
      </c>
      <c r="R90">
        <v>164.149142270266</v>
      </c>
      <c r="S90">
        <v>145.004248786926</v>
      </c>
      <c r="T90">
        <v>101.155525607358</v>
      </c>
      <c r="U90">
        <v>80.9327261771902</v>
      </c>
      <c r="V90">
        <v>65.4234296859209</v>
      </c>
      <c r="W90">
        <v>68.3166425628856</v>
      </c>
      <c r="X90">
        <v>787.003260039099</v>
      </c>
      <c r="Y90">
        <v>1557.8823149869</v>
      </c>
      <c r="AA90">
        <v>617553293.306035</v>
      </c>
    </row>
    <row r="91" spans="1:27" ht="12.75">
      <c r="A91" t="s">
        <v>256</v>
      </c>
      <c r="B91">
        <v>2828.30483089251</v>
      </c>
      <c r="C91">
        <v>1194.78989299131</v>
      </c>
      <c r="D91">
        <v>1543.42968893116</v>
      </c>
      <c r="E91">
        <v>2315.40980012784</v>
      </c>
      <c r="F91">
        <v>2620.43098079761</v>
      </c>
      <c r="G91">
        <v>1366.24060332017</v>
      </c>
      <c r="H91">
        <v>830.748915646008</v>
      </c>
      <c r="I91">
        <v>526.038949923481</v>
      </c>
      <c r="J91">
        <v>396.34950095937</v>
      </c>
      <c r="K91">
        <v>761.034538086137</v>
      </c>
      <c r="L91">
        <v>1618.05703287246</v>
      </c>
      <c r="M91">
        <v>4602.45606930566</v>
      </c>
      <c r="N91">
        <v>6567.79098495712</v>
      </c>
      <c r="O91">
        <v>3037.42332202757</v>
      </c>
      <c r="P91">
        <v>2137.91616644989</v>
      </c>
      <c r="Q91">
        <v>2071.86843693964</v>
      </c>
      <c r="R91">
        <v>2743.76812172638</v>
      </c>
      <c r="S91">
        <v>2522.06194264892</v>
      </c>
      <c r="T91">
        <v>1177.62170993758</v>
      </c>
      <c r="U91">
        <v>492.979850814968</v>
      </c>
      <c r="V91">
        <v>334.060013655912</v>
      </c>
      <c r="W91">
        <v>344.05351837367</v>
      </c>
      <c r="X91">
        <v>3978.84876886738</v>
      </c>
      <c r="Y91">
        <v>1748.73982821272</v>
      </c>
      <c r="AA91">
        <v>984940382.1758</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O44"/>
  <sheetViews>
    <sheetView zoomScale="75" zoomScaleNormal="75" workbookViewId="0" topLeftCell="A1">
      <selection activeCell="A2" sqref="A2"/>
    </sheetView>
  </sheetViews>
  <sheetFormatPr defaultColWidth="9.140625" defaultRowHeight="12.75"/>
  <cols>
    <col min="9" max="9" width="12.28125" style="0" bestFit="1" customWidth="1"/>
    <col min="16" max="16" width="12.28125" style="0" bestFit="1" customWidth="1"/>
    <col min="39" max="39" width="6.7109375" style="0" customWidth="1"/>
  </cols>
  <sheetData>
    <row r="1" spans="1:10" ht="12.75">
      <c r="A1" t="s">
        <v>774</v>
      </c>
      <c r="J1" t="s">
        <v>775</v>
      </c>
    </row>
    <row r="2" spans="2:41" ht="66">
      <c r="B2" t="s">
        <v>768</v>
      </c>
      <c r="C2" t="s">
        <v>769</v>
      </c>
      <c r="D2" t="s">
        <v>770</v>
      </c>
      <c r="E2" t="s">
        <v>799</v>
      </c>
      <c r="F2" t="s">
        <v>771</v>
      </c>
      <c r="G2" t="s">
        <v>772</v>
      </c>
      <c r="H2" t="s">
        <v>773</v>
      </c>
      <c r="I2" t="s">
        <v>785</v>
      </c>
      <c r="J2" s="4"/>
      <c r="K2" s="5" t="s">
        <v>783</v>
      </c>
      <c r="L2" s="5" t="s">
        <v>800</v>
      </c>
      <c r="M2" s="5" t="s">
        <v>782</v>
      </c>
      <c r="N2" s="5" t="s">
        <v>784</v>
      </c>
      <c r="AN2" s="4"/>
      <c r="AO2" s="5"/>
    </row>
    <row r="3" spans="1:40" ht="12.75">
      <c r="A3" s="212" t="s">
        <v>493</v>
      </c>
      <c r="B3">
        <v>12067500</v>
      </c>
      <c r="C3">
        <v>0.31</v>
      </c>
      <c r="D3">
        <v>4.32</v>
      </c>
      <c r="E3">
        <f>LOG10(D3)</f>
        <v>0.6354837468149122</v>
      </c>
      <c r="F3">
        <v>18.1</v>
      </c>
      <c r="G3">
        <v>5.9</v>
      </c>
      <c r="H3">
        <v>24</v>
      </c>
      <c r="I3">
        <f aca="true" t="shared" si="0" ref="I3:I8">F3/(D3-C3)/(86400*365.25)*1000000000</f>
        <v>143.0310198089586</v>
      </c>
      <c r="J3" s="1" t="s">
        <v>200</v>
      </c>
      <c r="K3">
        <v>13.340135482283817</v>
      </c>
      <c r="L3">
        <f>LOG10(M3)</f>
        <v>0.4421552353326158</v>
      </c>
      <c r="M3">
        <v>2.767930844904799</v>
      </c>
      <c r="N3">
        <f aca="true" t="shared" si="1" ref="N3:N8">K3/M3/(86400*365.25)*1000000000</f>
        <v>152.72180133828175</v>
      </c>
      <c r="P3" t="s">
        <v>778</v>
      </c>
      <c r="S3">
        <f>E3-L3</f>
        <v>0.19332851148229635</v>
      </c>
      <c r="T3">
        <f aca="true" t="shared" si="2" ref="T3:T8">H3-K3</f>
        <v>10.659864517716183</v>
      </c>
      <c r="U3">
        <f aca="true" t="shared" si="3" ref="U3:U8">F3-K3</f>
        <v>4.759864517716185</v>
      </c>
      <c r="V3">
        <f>I3-N3</f>
        <v>-9.690781529323147</v>
      </c>
      <c r="AL3" s="1" t="s">
        <v>200</v>
      </c>
      <c r="AM3">
        <v>97.673503621982</v>
      </c>
      <c r="AN3" s="1">
        <f aca="true" t="shared" si="4" ref="AN3:AN8">AM3/3.28^3</f>
        <v>2.767930844904799</v>
      </c>
    </row>
    <row r="4" spans="1:40" ht="12.75">
      <c r="A4" s="212" t="s">
        <v>438</v>
      </c>
      <c r="B4">
        <v>12068500</v>
      </c>
      <c r="C4">
        <v>0</v>
      </c>
      <c r="D4">
        <v>2.38</v>
      </c>
      <c r="E4">
        <f aca="true" t="shared" si="5" ref="E4:E23">LOG10(D4)</f>
        <v>0.37657695705651195</v>
      </c>
      <c r="F4">
        <v>10.3</v>
      </c>
      <c r="G4">
        <v>0</v>
      </c>
      <c r="H4">
        <v>10.3</v>
      </c>
      <c r="I4">
        <f t="shared" si="0"/>
        <v>137.1375228926463</v>
      </c>
      <c r="J4" s="1" t="s">
        <v>173</v>
      </c>
      <c r="K4">
        <v>4.860590705031865</v>
      </c>
      <c r="L4">
        <f aca="true" t="shared" si="6" ref="L4:L23">LOG10(M4)</f>
        <v>0.10184004748286533</v>
      </c>
      <c r="M4">
        <v>1.2642706254283327</v>
      </c>
      <c r="N4">
        <f t="shared" si="1"/>
        <v>121.82741731970555</v>
      </c>
      <c r="O4" t="s">
        <v>776</v>
      </c>
      <c r="P4" s="214">
        <f>RSQ(K3:K23,H3:H23)</f>
        <v>0.8749935650808052</v>
      </c>
      <c r="S4">
        <f aca="true" t="shared" si="7" ref="S4:S23">E4-L4</f>
        <v>0.2747369095736466</v>
      </c>
      <c r="T4">
        <f t="shared" si="2"/>
        <v>5.439409294968136</v>
      </c>
      <c r="U4">
        <f t="shared" si="3"/>
        <v>5.439409294968136</v>
      </c>
      <c r="V4">
        <f aca="true" t="shared" si="8" ref="V4:V23">I4-N4</f>
        <v>15.310105572940756</v>
      </c>
      <c r="AL4" s="1" t="s">
        <v>173</v>
      </c>
      <c r="AM4">
        <v>44.6130154368748</v>
      </c>
      <c r="AN4" s="1">
        <f t="shared" si="4"/>
        <v>1.2642706254283327</v>
      </c>
    </row>
    <row r="5" spans="1:40" ht="12.75">
      <c r="A5" s="212" t="s">
        <v>451</v>
      </c>
      <c r="B5" t="s">
        <v>765</v>
      </c>
      <c r="C5">
        <v>0.119</v>
      </c>
      <c r="D5">
        <v>0.43</v>
      </c>
      <c r="E5">
        <f t="shared" si="5"/>
        <v>-0.36653154442041347</v>
      </c>
      <c r="F5">
        <v>1.4</v>
      </c>
      <c r="G5">
        <v>2.2</v>
      </c>
      <c r="H5">
        <v>3.6</v>
      </c>
      <c r="I5">
        <f t="shared" si="0"/>
        <v>142.64734064193095</v>
      </c>
      <c r="J5" s="1" t="s">
        <v>179</v>
      </c>
      <c r="K5">
        <v>0.7979700649948795</v>
      </c>
      <c r="L5">
        <f t="shared" si="6"/>
        <v>-0.7063278839025375</v>
      </c>
      <c r="M5">
        <v>0.19664011344644683</v>
      </c>
      <c r="N5">
        <f t="shared" si="1"/>
        <v>128.5909830366864</v>
      </c>
      <c r="O5" t="s">
        <v>786</v>
      </c>
      <c r="P5" s="143">
        <f>AVERAGE(T3:T23)/AVERAGE(H3:H23)</f>
        <v>0.2612240955371779</v>
      </c>
      <c r="Q5" s="1"/>
      <c r="R5" s="1"/>
      <c r="S5">
        <f t="shared" si="7"/>
        <v>0.33979633948212407</v>
      </c>
      <c r="T5">
        <f t="shared" si="2"/>
        <v>2.8020299350051205</v>
      </c>
      <c r="U5">
        <f t="shared" si="3"/>
        <v>0.6020299350051204</v>
      </c>
      <c r="V5">
        <f t="shared" si="8"/>
        <v>14.056357605244557</v>
      </c>
      <c r="W5" s="1"/>
      <c r="X5" s="1"/>
      <c r="Y5" s="1"/>
      <c r="Z5" s="1"/>
      <c r="AA5" s="1"/>
      <c r="AB5" s="1"/>
      <c r="AC5" s="1"/>
      <c r="AD5" s="1"/>
      <c r="AE5" s="1"/>
      <c r="AF5" s="1"/>
      <c r="AG5" s="1"/>
      <c r="AH5" s="1"/>
      <c r="AI5" s="1"/>
      <c r="AJ5" s="1"/>
      <c r="AK5" s="1"/>
      <c r="AL5" s="1" t="s">
        <v>179</v>
      </c>
      <c r="AM5">
        <v>6.93894822852739</v>
      </c>
      <c r="AN5" s="1">
        <f t="shared" si="4"/>
        <v>0.19664011344644683</v>
      </c>
    </row>
    <row r="6" spans="1:40" ht="12.75">
      <c r="A6" s="212" t="s">
        <v>505</v>
      </c>
      <c r="B6">
        <v>12063500</v>
      </c>
      <c r="C6">
        <v>0.3</v>
      </c>
      <c r="D6">
        <v>2.19</v>
      </c>
      <c r="E6">
        <f t="shared" si="5"/>
        <v>0.34044411484011833</v>
      </c>
      <c r="F6">
        <v>24.9</v>
      </c>
      <c r="G6">
        <v>5.7</v>
      </c>
      <c r="H6">
        <v>30.6</v>
      </c>
      <c r="I6">
        <f t="shared" si="0"/>
        <v>417.47798231180997</v>
      </c>
      <c r="J6" s="1" t="s">
        <v>206</v>
      </c>
      <c r="K6">
        <v>18.304601773400428</v>
      </c>
      <c r="L6">
        <f t="shared" si="6"/>
        <v>0.18317376371384766</v>
      </c>
      <c r="M6">
        <v>1.5246626580528542</v>
      </c>
      <c r="N6">
        <f t="shared" si="1"/>
        <v>380.4368299654618</v>
      </c>
      <c r="S6">
        <f t="shared" si="7"/>
        <v>0.15727035112627066</v>
      </c>
      <c r="T6">
        <f t="shared" si="2"/>
        <v>12.295398226599573</v>
      </c>
      <c r="U6">
        <f t="shared" si="3"/>
        <v>6.5953982265995705</v>
      </c>
      <c r="V6">
        <f t="shared" si="8"/>
        <v>37.041152346348156</v>
      </c>
      <c r="AL6" s="1" t="s">
        <v>206</v>
      </c>
      <c r="AM6">
        <v>53.8016128284983</v>
      </c>
      <c r="AN6" s="1">
        <f t="shared" si="4"/>
        <v>1.5246626580528542</v>
      </c>
    </row>
    <row r="7" spans="1:40" ht="12.75">
      <c r="A7" s="212" t="s">
        <v>432</v>
      </c>
      <c r="B7">
        <v>12052210</v>
      </c>
      <c r="C7">
        <v>1.03</v>
      </c>
      <c r="D7">
        <v>6.32</v>
      </c>
      <c r="E7">
        <f t="shared" si="5"/>
        <v>0.800717078282385</v>
      </c>
      <c r="F7">
        <v>16.5</v>
      </c>
      <c r="G7">
        <v>19.5</v>
      </c>
      <c r="H7">
        <v>36</v>
      </c>
      <c r="I7">
        <f t="shared" si="0"/>
        <v>98.83808108345514</v>
      </c>
      <c r="J7" s="1" t="s">
        <v>171</v>
      </c>
      <c r="K7">
        <v>16.342247682359194</v>
      </c>
      <c r="L7">
        <f t="shared" si="6"/>
        <v>0.7822754004712721</v>
      </c>
      <c r="M7">
        <v>6.057248631277881</v>
      </c>
      <c r="N7">
        <f t="shared" si="1"/>
        <v>85.49336689980957</v>
      </c>
      <c r="S7">
        <f t="shared" si="7"/>
        <v>0.018441677811112944</v>
      </c>
      <c r="T7">
        <f t="shared" si="2"/>
        <v>19.657752317640806</v>
      </c>
      <c r="U7">
        <f t="shared" si="3"/>
        <v>0.15775231764080644</v>
      </c>
      <c r="V7">
        <f t="shared" si="8"/>
        <v>13.344714183645564</v>
      </c>
      <c r="AL7" s="1" t="s">
        <v>171</v>
      </c>
      <c r="AM7">
        <v>213.745476053147</v>
      </c>
      <c r="AN7" s="1">
        <f t="shared" si="4"/>
        <v>6.057248631277881</v>
      </c>
    </row>
    <row r="8" spans="1:40" ht="12.75">
      <c r="A8" s="212" t="s">
        <v>763</v>
      </c>
      <c r="B8">
        <v>12061500</v>
      </c>
      <c r="C8">
        <v>0</v>
      </c>
      <c r="D8">
        <v>36.13</v>
      </c>
      <c r="E8">
        <f t="shared" si="5"/>
        <v>1.5578679615680222</v>
      </c>
      <c r="F8">
        <v>131.4</v>
      </c>
      <c r="G8">
        <v>0</v>
      </c>
      <c r="H8">
        <v>131.4</v>
      </c>
      <c r="I8">
        <f t="shared" si="0"/>
        <v>115.24535673300315</v>
      </c>
      <c r="J8" s="1" t="s">
        <v>191</v>
      </c>
      <c r="K8">
        <v>111.23697090621368</v>
      </c>
      <c r="L8">
        <f t="shared" si="6"/>
        <v>1.6272249746247982</v>
      </c>
      <c r="M8">
        <v>42.38624797935262</v>
      </c>
      <c r="N8">
        <f t="shared" si="1"/>
        <v>83.16109753238224</v>
      </c>
      <c r="O8">
        <f>(622-253)/(588-253)</f>
        <v>1.1014925373134328</v>
      </c>
      <c r="P8">
        <f>K8*O8</f>
        <v>122.52669332654581</v>
      </c>
      <c r="S8">
        <f t="shared" si="7"/>
        <v>-0.069357013056776</v>
      </c>
      <c r="T8">
        <f t="shared" si="2"/>
        <v>20.16302909378632</v>
      </c>
      <c r="U8">
        <f t="shared" si="3"/>
        <v>20.16302909378632</v>
      </c>
      <c r="V8">
        <f t="shared" si="8"/>
        <v>32.084259200620906</v>
      </c>
      <c r="AL8" s="1" t="s">
        <v>191</v>
      </c>
      <c r="AM8">
        <v>1495.7069296563</v>
      </c>
      <c r="AN8" s="1">
        <f t="shared" si="4"/>
        <v>42.38624797935262</v>
      </c>
    </row>
    <row r="9" spans="1:40" ht="12.75">
      <c r="A9" s="212" t="s">
        <v>443</v>
      </c>
      <c r="B9">
        <v>12054000</v>
      </c>
      <c r="C9">
        <v>0</v>
      </c>
      <c r="D9">
        <v>13.69</v>
      </c>
      <c r="E9">
        <f t="shared" si="5"/>
        <v>1.13640344813399</v>
      </c>
      <c r="F9">
        <v>20.8</v>
      </c>
      <c r="G9">
        <v>0</v>
      </c>
      <c r="H9">
        <v>20.8</v>
      </c>
      <c r="I9">
        <f aca="true" t="shared" si="9" ref="I9:I23">F9/(D9-C9)/(86400*365.25)*1000000000</f>
        <v>48.14552421707832</v>
      </c>
      <c r="J9" s="1" t="s">
        <v>175</v>
      </c>
      <c r="K9">
        <v>19.6345356421333</v>
      </c>
      <c r="L9">
        <f t="shared" si="6"/>
        <v>1.104967731972202</v>
      </c>
      <c r="M9">
        <v>12.734084634059146</v>
      </c>
      <c r="N9">
        <f aca="true" t="shared" si="10" ref="N9:N23">K9/M9/(86400*365.25)*1000000000</f>
        <v>48.85949068938091</v>
      </c>
      <c r="S9">
        <f t="shared" si="7"/>
        <v>0.031435716161787974</v>
      </c>
      <c r="T9">
        <f aca="true" t="shared" si="11" ref="T9:T23">H9-K9</f>
        <v>1.1654643578666999</v>
      </c>
      <c r="U9">
        <f aca="true" t="shared" si="12" ref="U9:U23">F9-K9</f>
        <v>1.1654643578666999</v>
      </c>
      <c r="V9">
        <f t="shared" si="8"/>
        <v>-0.7139664723025945</v>
      </c>
      <c r="AL9" s="1" t="s">
        <v>175</v>
      </c>
      <c r="AM9">
        <v>449.354673696763</v>
      </c>
      <c r="AN9" s="1">
        <f aca="true" t="shared" si="13" ref="AN9:AN23">AM9/3.28^3</f>
        <v>12.734084634059146</v>
      </c>
    </row>
    <row r="10" spans="1:40" ht="12.75">
      <c r="A10" s="212" t="s">
        <v>440</v>
      </c>
      <c r="B10">
        <v>12053000</v>
      </c>
      <c r="C10">
        <v>0</v>
      </c>
      <c r="D10">
        <v>17.49</v>
      </c>
      <c r="E10">
        <f t="shared" si="5"/>
        <v>1.2427898094786765</v>
      </c>
      <c r="F10">
        <v>49.8</v>
      </c>
      <c r="G10">
        <v>0</v>
      </c>
      <c r="H10">
        <v>49.8</v>
      </c>
      <c r="I10">
        <f t="shared" si="9"/>
        <v>90.22680235212358</v>
      </c>
      <c r="J10" s="1" t="s">
        <v>174</v>
      </c>
      <c r="K10">
        <v>24.4245758897791</v>
      </c>
      <c r="L10">
        <f t="shared" si="6"/>
        <v>1.2791723069645033</v>
      </c>
      <c r="M10">
        <v>19.018326851291842</v>
      </c>
      <c r="N10">
        <f t="shared" si="10"/>
        <v>40.695909354568784</v>
      </c>
      <c r="P10" t="s">
        <v>779</v>
      </c>
      <c r="S10">
        <f t="shared" si="7"/>
        <v>-0.03638249748582689</v>
      </c>
      <c r="T10">
        <f t="shared" si="11"/>
        <v>25.375424110220898</v>
      </c>
      <c r="U10">
        <f t="shared" si="12"/>
        <v>25.375424110220898</v>
      </c>
      <c r="V10">
        <f t="shared" si="8"/>
        <v>49.5308929975548</v>
      </c>
      <c r="AL10" s="1" t="s">
        <v>174</v>
      </c>
      <c r="AM10">
        <v>671.110197717957</v>
      </c>
      <c r="AN10" s="1">
        <f t="shared" si="13"/>
        <v>19.018326851291842</v>
      </c>
    </row>
    <row r="11" spans="1:40" ht="12.75">
      <c r="A11" s="212" t="s">
        <v>764</v>
      </c>
      <c r="B11">
        <v>12054500</v>
      </c>
      <c r="C11">
        <v>0</v>
      </c>
      <c r="D11">
        <v>16.36</v>
      </c>
      <c r="E11">
        <f t="shared" si="5"/>
        <v>1.2137832993353042</v>
      </c>
      <c r="F11">
        <v>52.6</v>
      </c>
      <c r="G11">
        <v>0</v>
      </c>
      <c r="H11">
        <v>52.6</v>
      </c>
      <c r="I11">
        <f t="shared" si="9"/>
        <v>101.88223832627891</v>
      </c>
      <c r="J11" s="1" t="s">
        <v>182</v>
      </c>
      <c r="K11">
        <v>30.62304809973433</v>
      </c>
      <c r="L11">
        <f t="shared" si="6"/>
        <v>1.2270050606559748</v>
      </c>
      <c r="M11">
        <v>16.865726782158625</v>
      </c>
      <c r="N11">
        <f t="shared" si="10"/>
        <v>57.5359633089832</v>
      </c>
      <c r="O11" t="s">
        <v>776</v>
      </c>
      <c r="P11" s="215">
        <f>RSQ(K3:K23,F3:F23)</f>
        <v>0.8998075650014883</v>
      </c>
      <c r="S11">
        <f t="shared" si="7"/>
        <v>-0.013221761320670655</v>
      </c>
      <c r="T11">
        <f t="shared" si="11"/>
        <v>21.97695190026567</v>
      </c>
      <c r="U11">
        <f t="shared" si="12"/>
        <v>21.97695190026567</v>
      </c>
      <c r="V11">
        <f t="shared" si="8"/>
        <v>44.34627501729571</v>
      </c>
      <c r="AL11" s="1" t="s">
        <v>182</v>
      </c>
      <c r="AM11">
        <v>595.150210843215</v>
      </c>
      <c r="AN11" s="1">
        <f t="shared" si="13"/>
        <v>16.865726782158625</v>
      </c>
    </row>
    <row r="12" spans="1:40" ht="12.75">
      <c r="A12" t="s">
        <v>428</v>
      </c>
      <c r="B12">
        <v>12069550</v>
      </c>
      <c r="C12">
        <v>0</v>
      </c>
      <c r="D12">
        <v>1.12</v>
      </c>
      <c r="E12">
        <f t="shared" si="5"/>
        <v>0.04921802267018165</v>
      </c>
      <c r="F12">
        <v>4.2</v>
      </c>
      <c r="G12">
        <v>0</v>
      </c>
      <c r="H12">
        <v>4.2</v>
      </c>
      <c r="I12">
        <f>F12/(D12-C12)/(86400*365.25)*1000000000</f>
        <v>118.83032930260856</v>
      </c>
      <c r="J12" s="1" t="s">
        <v>169</v>
      </c>
      <c r="K12">
        <v>9.76193554272074</v>
      </c>
      <c r="L12">
        <f t="shared" si="6"/>
        <v>0.021025834044064048</v>
      </c>
      <c r="M12">
        <v>1.04960486262957</v>
      </c>
      <c r="N12">
        <f>K12/M12/(86400*365.25)*1000000000</f>
        <v>294.71764253992166</v>
      </c>
      <c r="Q12" s="1"/>
      <c r="R12" s="1"/>
      <c r="S12">
        <f t="shared" si="7"/>
        <v>0.028192188626117606</v>
      </c>
      <c r="T12">
        <f>H12-K12</f>
        <v>-5.56193554272074</v>
      </c>
      <c r="U12">
        <f>F12-K12</f>
        <v>-5.56193554272074</v>
      </c>
      <c r="V12">
        <f t="shared" si="8"/>
        <v>-175.8873132373131</v>
      </c>
      <c r="W12" s="1"/>
      <c r="X12" s="1"/>
      <c r="Y12" s="1"/>
      <c r="Z12" s="1"/>
      <c r="AA12" s="1"/>
      <c r="AB12" s="1"/>
      <c r="AC12" s="1"/>
      <c r="AD12" s="1"/>
      <c r="AE12" s="1"/>
      <c r="AF12" s="1"/>
      <c r="AG12" s="1"/>
      <c r="AH12" s="1"/>
      <c r="AI12" s="1"/>
      <c r="AJ12" s="1"/>
      <c r="AK12" s="1"/>
      <c r="AL12" s="1" t="s">
        <v>169</v>
      </c>
      <c r="AM12">
        <v>37.0379861694938</v>
      </c>
      <c r="AN12" s="1">
        <f>AM12/3.28^3</f>
        <v>1.04960486262957</v>
      </c>
    </row>
    <row r="13" spans="1:40" ht="12.75">
      <c r="A13" t="s">
        <v>473</v>
      </c>
      <c r="B13">
        <v>12052000</v>
      </c>
      <c r="C13">
        <v>0.03</v>
      </c>
      <c r="D13">
        <v>2.26</v>
      </c>
      <c r="E13">
        <f t="shared" si="5"/>
        <v>0.35410843914740087</v>
      </c>
      <c r="F13">
        <v>8.4</v>
      </c>
      <c r="G13">
        <v>0.5</v>
      </c>
      <c r="H13">
        <v>8.9</v>
      </c>
      <c r="I13">
        <f t="shared" si="9"/>
        <v>119.36320073445881</v>
      </c>
      <c r="J13" s="1" t="s">
        <v>190</v>
      </c>
      <c r="K13">
        <v>32.474346412383795</v>
      </c>
      <c r="L13">
        <f t="shared" si="6"/>
        <v>0.2352600130848342</v>
      </c>
      <c r="M13">
        <v>1.7189372107284013</v>
      </c>
      <c r="N13">
        <f t="shared" si="10"/>
        <v>598.6547585311466</v>
      </c>
      <c r="O13" t="s">
        <v>786</v>
      </c>
      <c r="P13" s="143">
        <f>AVERAGE(U3:U23)/AVERAGE(F3:F23)</f>
        <v>0.15163534342961535</v>
      </c>
      <c r="S13">
        <f t="shared" si="7"/>
        <v>0.11884842606256665</v>
      </c>
      <c r="T13">
        <f t="shared" si="11"/>
        <v>-23.574346412383797</v>
      </c>
      <c r="U13">
        <f t="shared" si="12"/>
        <v>-24.074346412383797</v>
      </c>
      <c r="V13">
        <f t="shared" si="8"/>
        <v>-479.2915577966878</v>
      </c>
      <c r="AL13" s="1" t="s">
        <v>190</v>
      </c>
      <c r="AM13">
        <v>60.6570862083134</v>
      </c>
      <c r="AN13" s="1">
        <f t="shared" si="13"/>
        <v>1.7189372107284013</v>
      </c>
    </row>
    <row r="14" spans="1:40" ht="12.75">
      <c r="A14" t="s">
        <v>499</v>
      </c>
      <c r="B14" t="s">
        <v>765</v>
      </c>
      <c r="C14">
        <v>0</v>
      </c>
      <c r="D14">
        <v>0.69</v>
      </c>
      <c r="E14">
        <f t="shared" si="5"/>
        <v>-0.16115090926274472</v>
      </c>
      <c r="F14">
        <v>2.6</v>
      </c>
      <c r="G14">
        <v>0</v>
      </c>
      <c r="H14">
        <v>2.6</v>
      </c>
      <c r="I14">
        <f t="shared" si="9"/>
        <v>119.40438886445692</v>
      </c>
      <c r="J14" s="1" t="s">
        <v>203</v>
      </c>
      <c r="K14">
        <v>5.54124197992799</v>
      </c>
      <c r="L14">
        <f t="shared" si="6"/>
        <v>-0.3465739900797387</v>
      </c>
      <c r="M14">
        <v>0.45022127125156214</v>
      </c>
      <c r="N14">
        <f t="shared" si="10"/>
        <v>390.0112537344548</v>
      </c>
      <c r="Q14" s="1"/>
      <c r="R14" s="1"/>
      <c r="S14">
        <f t="shared" si="7"/>
        <v>0.185423080816994</v>
      </c>
      <c r="T14">
        <f t="shared" si="11"/>
        <v>-2.9412419799279896</v>
      </c>
      <c r="U14">
        <f t="shared" si="12"/>
        <v>-2.9412419799279896</v>
      </c>
      <c r="V14">
        <f t="shared" si="8"/>
        <v>-270.6068648699979</v>
      </c>
      <c r="W14" s="1"/>
      <c r="X14" s="1"/>
      <c r="Y14" s="1"/>
      <c r="Z14" s="1"/>
      <c r="AA14" s="1"/>
      <c r="AB14" s="1"/>
      <c r="AC14" s="1"/>
      <c r="AD14" s="1"/>
      <c r="AE14" s="1"/>
      <c r="AF14" s="1"/>
      <c r="AG14" s="1"/>
      <c r="AH14" s="1"/>
      <c r="AI14" s="1"/>
      <c r="AJ14" s="1"/>
      <c r="AK14" s="1"/>
      <c r="AL14" s="1" t="s">
        <v>203</v>
      </c>
      <c r="AM14">
        <v>15.8872065207956</v>
      </c>
      <c r="AN14" s="1">
        <f t="shared" si="13"/>
        <v>0.45022127125156214</v>
      </c>
    </row>
    <row r="15" spans="1:40" ht="12.75">
      <c r="A15" t="s">
        <v>495</v>
      </c>
      <c r="B15" t="s">
        <v>765</v>
      </c>
      <c r="C15">
        <v>0</v>
      </c>
      <c r="D15">
        <v>0.64</v>
      </c>
      <c r="E15">
        <f t="shared" si="5"/>
        <v>-0.1938200260161128</v>
      </c>
      <c r="F15">
        <v>2.4</v>
      </c>
      <c r="G15">
        <v>0</v>
      </c>
      <c r="H15">
        <v>2.4</v>
      </c>
      <c r="I15">
        <f t="shared" si="9"/>
        <v>118.83032930260856</v>
      </c>
      <c r="J15" s="1" t="s">
        <v>201</v>
      </c>
      <c r="K15">
        <v>7.148580280240284</v>
      </c>
      <c r="L15">
        <f t="shared" si="6"/>
        <v>-0.50480678544266</v>
      </c>
      <c r="M15">
        <v>0.31274704472430964</v>
      </c>
      <c r="N15">
        <f t="shared" si="10"/>
        <v>724.3068911029175</v>
      </c>
      <c r="P15" s="1"/>
      <c r="Q15" s="1"/>
      <c r="R15" s="1"/>
      <c r="S15">
        <f t="shared" si="7"/>
        <v>0.3109867594265472</v>
      </c>
      <c r="T15">
        <f t="shared" si="11"/>
        <v>-4.748580280240285</v>
      </c>
      <c r="U15">
        <f t="shared" si="12"/>
        <v>-4.748580280240285</v>
      </c>
      <c r="V15">
        <f>I15-N15</f>
        <v>-605.4765618003089</v>
      </c>
      <c r="W15" s="1"/>
      <c r="X15" s="1"/>
      <c r="Y15" s="1"/>
      <c r="Z15" s="1"/>
      <c r="AA15" s="1"/>
      <c r="AB15" s="1"/>
      <c r="AC15" s="1"/>
      <c r="AD15" s="1"/>
      <c r="AE15" s="1"/>
      <c r="AF15" s="1"/>
      <c r="AG15" s="1"/>
      <c r="AH15" s="1"/>
      <c r="AI15" s="1"/>
      <c r="AJ15" s="1"/>
      <c r="AK15" s="1"/>
      <c r="AL15" s="1" t="s">
        <v>201</v>
      </c>
      <c r="AM15">
        <v>11.0360776035554</v>
      </c>
      <c r="AN15" s="1">
        <f t="shared" si="13"/>
        <v>0.31274704472430964</v>
      </c>
    </row>
    <row r="16" spans="1:40" ht="12.75">
      <c r="A16" t="s">
        <v>479</v>
      </c>
      <c r="B16">
        <v>12065000</v>
      </c>
      <c r="C16">
        <v>0.2</v>
      </c>
      <c r="D16">
        <v>1.17</v>
      </c>
      <c r="E16">
        <f t="shared" si="5"/>
        <v>0.06818586174616162</v>
      </c>
      <c r="F16">
        <v>3.7</v>
      </c>
      <c r="G16">
        <v>3.7</v>
      </c>
      <c r="H16">
        <v>7.4</v>
      </c>
      <c r="I16">
        <f t="shared" si="9"/>
        <v>120.87208753804859</v>
      </c>
      <c r="J16" s="1" t="s">
        <v>193</v>
      </c>
      <c r="K16">
        <v>5.568142323493483</v>
      </c>
      <c r="L16">
        <f t="shared" si="6"/>
        <v>-0.18038793501174114</v>
      </c>
      <c r="M16">
        <v>0.6601035448609783</v>
      </c>
      <c r="N16">
        <f t="shared" si="10"/>
        <v>267.2971297935277</v>
      </c>
      <c r="P16" s="1"/>
      <c r="Q16" s="1"/>
      <c r="R16" s="1"/>
      <c r="S16">
        <f t="shared" si="7"/>
        <v>0.24857379675790275</v>
      </c>
      <c r="T16">
        <f t="shared" si="11"/>
        <v>1.8318576765065178</v>
      </c>
      <c r="U16">
        <f t="shared" si="12"/>
        <v>-1.8681423234934824</v>
      </c>
      <c r="V16">
        <f t="shared" si="8"/>
        <v>-146.4250422554791</v>
      </c>
      <c r="W16" s="1"/>
      <c r="X16" s="1"/>
      <c r="Y16" s="1"/>
      <c r="Z16" s="1"/>
      <c r="AA16" s="1"/>
      <c r="AB16" s="1"/>
      <c r="AC16" s="1"/>
      <c r="AD16" s="1"/>
      <c r="AE16" s="1"/>
      <c r="AF16" s="1"/>
      <c r="AG16" s="1"/>
      <c r="AH16" s="1"/>
      <c r="AI16" s="1"/>
      <c r="AJ16" s="1"/>
      <c r="AK16" s="1"/>
      <c r="AL16" s="1" t="s">
        <v>193</v>
      </c>
      <c r="AM16">
        <v>23.2934381646661</v>
      </c>
      <c r="AN16" s="1">
        <f t="shared" si="13"/>
        <v>0.6601035448609783</v>
      </c>
    </row>
    <row r="17" spans="1:40" ht="12.75">
      <c r="A17" t="s">
        <v>445</v>
      </c>
      <c r="B17" t="s">
        <v>765</v>
      </c>
      <c r="C17">
        <v>0.135</v>
      </c>
      <c r="D17">
        <v>0.91</v>
      </c>
      <c r="E17">
        <f t="shared" si="5"/>
        <v>-0.040958607678906384</v>
      </c>
      <c r="F17">
        <v>2.9</v>
      </c>
      <c r="G17">
        <v>2.6</v>
      </c>
      <c r="H17">
        <v>5.5</v>
      </c>
      <c r="I17">
        <f t="shared" si="9"/>
        <v>118.57478020733413</v>
      </c>
      <c r="J17" s="1" t="s">
        <v>176</v>
      </c>
      <c r="K17">
        <v>0.9219996111282601</v>
      </c>
      <c r="L17">
        <f t="shared" si="6"/>
        <v>-0.48049676620081677</v>
      </c>
      <c r="M17">
        <v>0.33075257486610304</v>
      </c>
      <c r="N17">
        <f t="shared" si="10"/>
        <v>88.33311321540091</v>
      </c>
      <c r="S17">
        <f t="shared" si="7"/>
        <v>0.43953815852191036</v>
      </c>
      <c r="T17">
        <f t="shared" si="11"/>
        <v>4.5780003888717395</v>
      </c>
      <c r="U17">
        <f t="shared" si="12"/>
        <v>1.97800038887174</v>
      </c>
      <c r="V17">
        <f t="shared" si="8"/>
        <v>30.241666991933215</v>
      </c>
      <c r="AL17" s="1" t="s">
        <v>176</v>
      </c>
      <c r="AM17">
        <v>11.6714486847215</v>
      </c>
      <c r="AN17" s="1">
        <f t="shared" si="13"/>
        <v>0.33075257486610304</v>
      </c>
    </row>
    <row r="18" spans="1:40" ht="12.75">
      <c r="A18" t="s">
        <v>455</v>
      </c>
      <c r="B18" t="s">
        <v>765</v>
      </c>
      <c r="C18">
        <v>0.061</v>
      </c>
      <c r="D18">
        <v>0.93</v>
      </c>
      <c r="E18">
        <f t="shared" si="5"/>
        <v>-0.03151705144606486</v>
      </c>
      <c r="F18">
        <v>3.3</v>
      </c>
      <c r="G18">
        <v>1.2</v>
      </c>
      <c r="H18">
        <v>4.5</v>
      </c>
      <c r="I18">
        <f t="shared" si="9"/>
        <v>120.33451068618588</v>
      </c>
      <c r="J18" s="1" t="s">
        <v>181</v>
      </c>
      <c r="K18">
        <v>2.2819924919440995</v>
      </c>
      <c r="L18">
        <f t="shared" si="6"/>
        <v>0.10758032931486207</v>
      </c>
      <c r="M18">
        <v>1.2810920299167738</v>
      </c>
      <c r="N18">
        <f t="shared" si="10"/>
        <v>56.445576732201765</v>
      </c>
      <c r="O18" t="s">
        <v>801</v>
      </c>
      <c r="P18" s="1"/>
      <c r="Q18" s="1"/>
      <c r="R18" s="1"/>
      <c r="S18">
        <f t="shared" si="7"/>
        <v>-0.13909738076092693</v>
      </c>
      <c r="T18">
        <f t="shared" si="11"/>
        <v>2.2180075080559005</v>
      </c>
      <c r="U18">
        <f t="shared" si="12"/>
        <v>1.0180075080559003</v>
      </c>
      <c r="V18">
        <f t="shared" si="8"/>
        <v>63.888933953984115</v>
      </c>
      <c r="W18" s="1"/>
      <c r="X18" s="1"/>
      <c r="Y18" s="1"/>
      <c r="Z18" s="1"/>
      <c r="AA18" s="1"/>
      <c r="AB18" s="1"/>
      <c r="AC18" s="1"/>
      <c r="AD18" s="1"/>
      <c r="AE18" s="1"/>
      <c r="AF18" s="1"/>
      <c r="AG18" s="1"/>
      <c r="AH18" s="1"/>
      <c r="AI18" s="1"/>
      <c r="AJ18" s="1"/>
      <c r="AK18" s="1"/>
      <c r="AL18" s="1" t="s">
        <v>181</v>
      </c>
      <c r="AM18">
        <v>45.2066016224737</v>
      </c>
      <c r="AN18" s="1">
        <f t="shared" si="13"/>
        <v>1.2810920299167738</v>
      </c>
    </row>
    <row r="19" spans="1:40" ht="12.75">
      <c r="A19" t="s">
        <v>465</v>
      </c>
      <c r="B19" t="s">
        <v>765</v>
      </c>
      <c r="C19">
        <v>0.111</v>
      </c>
      <c r="D19">
        <v>0.56</v>
      </c>
      <c r="E19">
        <f t="shared" si="5"/>
        <v>-0.25181197299379954</v>
      </c>
      <c r="F19">
        <v>1.7</v>
      </c>
      <c r="G19">
        <v>2.1</v>
      </c>
      <c r="H19">
        <v>3.8</v>
      </c>
      <c r="I19">
        <f t="shared" si="9"/>
        <v>119.97716989721427</v>
      </c>
      <c r="J19" s="1" t="s">
        <v>186</v>
      </c>
      <c r="K19">
        <v>0.8397395854879727</v>
      </c>
      <c r="L19">
        <f t="shared" si="6"/>
        <v>-0.3725489396535942</v>
      </c>
      <c r="M19">
        <v>0.42408319225109475</v>
      </c>
      <c r="N19">
        <f t="shared" si="10"/>
        <v>62.74651344848354</v>
      </c>
      <c r="O19" t="s">
        <v>776</v>
      </c>
      <c r="P19" s="215">
        <f>RSQ(E3:E23,L3:L23)</f>
        <v>0.9615691282200508</v>
      </c>
      <c r="S19">
        <f t="shared" si="7"/>
        <v>0.12073696665979466</v>
      </c>
      <c r="T19">
        <f>H19-K19</f>
        <v>2.9602604145120273</v>
      </c>
      <c r="U19">
        <f t="shared" si="12"/>
        <v>0.8602604145120273</v>
      </c>
      <c r="V19">
        <f t="shared" si="8"/>
        <v>57.23065644873073</v>
      </c>
      <c r="AL19" s="1" t="s">
        <v>186</v>
      </c>
      <c r="AM19">
        <v>14.9648576988865</v>
      </c>
      <c r="AN19" s="1">
        <f t="shared" si="13"/>
        <v>0.42408319225109475</v>
      </c>
    </row>
    <row r="20" spans="1:40" ht="12.75">
      <c r="A20" t="s">
        <v>469</v>
      </c>
      <c r="B20" t="s">
        <v>765</v>
      </c>
      <c r="C20">
        <v>0.5</v>
      </c>
      <c r="D20">
        <v>2.24</v>
      </c>
      <c r="E20">
        <f t="shared" si="5"/>
        <v>0.35024801833416286</v>
      </c>
      <c r="F20">
        <v>6.5</v>
      </c>
      <c r="G20">
        <v>9.5</v>
      </c>
      <c r="H20">
        <v>16</v>
      </c>
      <c r="I20">
        <f t="shared" si="9"/>
        <v>118.37504068459089</v>
      </c>
      <c r="J20" s="1" t="s">
        <v>188</v>
      </c>
      <c r="K20">
        <v>2.2466545047647184</v>
      </c>
      <c r="L20">
        <f t="shared" si="6"/>
        <v>0.019780281675071575</v>
      </c>
      <c r="M20">
        <v>1.0465989186160465</v>
      </c>
      <c r="N20">
        <f t="shared" si="10"/>
        <v>68.02241428732601</v>
      </c>
      <c r="O20" t="s">
        <v>786</v>
      </c>
      <c r="P20" s="211">
        <f>AVERAGE(S3:S23)/AVERAGE(D3:D23)</f>
        <v>0.03239157050714576</v>
      </c>
      <c r="Q20" s="1"/>
      <c r="R20" s="1"/>
      <c r="S20">
        <f t="shared" si="7"/>
        <v>0.3304677366590913</v>
      </c>
      <c r="T20">
        <f t="shared" si="11"/>
        <v>13.753345495235282</v>
      </c>
      <c r="U20">
        <f t="shared" si="12"/>
        <v>4.253345495235282</v>
      </c>
      <c r="V20">
        <f t="shared" si="8"/>
        <v>50.35262639726487</v>
      </c>
      <c r="W20" s="1"/>
      <c r="X20" s="1"/>
      <c r="Y20" s="1"/>
      <c r="Z20" s="1"/>
      <c r="AA20" s="1"/>
      <c r="AB20" s="1"/>
      <c r="AC20" s="1"/>
      <c r="AD20" s="1"/>
      <c r="AE20" s="1"/>
      <c r="AF20" s="1"/>
      <c r="AG20" s="1"/>
      <c r="AH20" s="1"/>
      <c r="AI20" s="1"/>
      <c r="AJ20" s="1"/>
      <c r="AK20" s="1"/>
      <c r="AL20" s="1" t="s">
        <v>188</v>
      </c>
      <c r="AM20">
        <v>36.9319137638075</v>
      </c>
      <c r="AN20" s="1">
        <f t="shared" si="13"/>
        <v>1.0465989186160465</v>
      </c>
    </row>
    <row r="21" spans="1:40" ht="12.75">
      <c r="A21" t="s">
        <v>484</v>
      </c>
      <c r="B21" t="s">
        <v>765</v>
      </c>
      <c r="C21">
        <v>0</v>
      </c>
      <c r="D21">
        <v>0.53</v>
      </c>
      <c r="E21">
        <f t="shared" si="5"/>
        <v>-0.27572413039921095</v>
      </c>
      <c r="F21">
        <v>2</v>
      </c>
      <c r="G21">
        <v>0</v>
      </c>
      <c r="H21">
        <v>2</v>
      </c>
      <c r="I21">
        <f t="shared" si="9"/>
        <v>119.57768986426017</v>
      </c>
      <c r="J21" s="1" t="s">
        <v>196</v>
      </c>
      <c r="K21">
        <v>3.7666919378558097</v>
      </c>
      <c r="L21">
        <f t="shared" si="6"/>
        <v>-0.6358958309441158</v>
      </c>
      <c r="M21">
        <v>0.23126194241925319</v>
      </c>
      <c r="N21">
        <f t="shared" si="10"/>
        <v>516.1215185107466</v>
      </c>
      <c r="S21">
        <f t="shared" si="7"/>
        <v>0.3601717005449049</v>
      </c>
      <c r="T21">
        <f t="shared" si="11"/>
        <v>-1.7666919378558097</v>
      </c>
      <c r="U21">
        <f t="shared" si="12"/>
        <v>-1.7666919378558097</v>
      </c>
      <c r="V21">
        <f t="shared" si="8"/>
        <v>-396.5438286464864</v>
      </c>
      <c r="AL21" s="1" t="s">
        <v>196</v>
      </c>
      <c r="AM21">
        <v>8.1606678187404</v>
      </c>
      <c r="AN21" s="1">
        <f t="shared" si="13"/>
        <v>0.23126194241925319</v>
      </c>
    </row>
    <row r="22" spans="1:40" ht="12.75">
      <c r="A22" t="s">
        <v>489</v>
      </c>
      <c r="B22" t="s">
        <v>765</v>
      </c>
      <c r="C22">
        <v>0</v>
      </c>
      <c r="D22">
        <v>0.99</v>
      </c>
      <c r="E22">
        <f t="shared" si="5"/>
        <v>-0.004364805402450088</v>
      </c>
      <c r="F22">
        <v>3.7</v>
      </c>
      <c r="G22">
        <v>0</v>
      </c>
      <c r="H22">
        <v>3.7</v>
      </c>
      <c r="I22">
        <f t="shared" si="9"/>
        <v>118.43022718374456</v>
      </c>
      <c r="J22" s="1" t="s">
        <v>198</v>
      </c>
      <c r="K22">
        <v>2.9448106352526913</v>
      </c>
      <c r="L22">
        <f t="shared" si="6"/>
        <v>-0.45419328845110474</v>
      </c>
      <c r="M22">
        <v>0.35140400876021954</v>
      </c>
      <c r="N22">
        <f t="shared" si="10"/>
        <v>265.55023755932</v>
      </c>
      <c r="O22" s="1" t="s">
        <v>787</v>
      </c>
      <c r="S22">
        <f t="shared" si="7"/>
        <v>0.44982848304865464</v>
      </c>
      <c r="T22">
        <f t="shared" si="11"/>
        <v>0.7551893647473089</v>
      </c>
      <c r="U22">
        <f t="shared" si="12"/>
        <v>0.7551893647473089</v>
      </c>
      <c r="V22">
        <f t="shared" si="8"/>
        <v>-147.12001037557545</v>
      </c>
      <c r="AL22" s="1" t="s">
        <v>198</v>
      </c>
      <c r="AM22">
        <v>12.4001872321347</v>
      </c>
      <c r="AN22" s="1">
        <f t="shared" si="13"/>
        <v>0.35140400876021954</v>
      </c>
    </row>
    <row r="23" spans="1:40" ht="12.75">
      <c r="A23" t="s">
        <v>767</v>
      </c>
      <c r="B23" t="s">
        <v>765</v>
      </c>
      <c r="C23">
        <v>0.104</v>
      </c>
      <c r="D23">
        <v>0.87</v>
      </c>
      <c r="E23">
        <f t="shared" si="5"/>
        <v>-0.060480747381381476</v>
      </c>
      <c r="F23">
        <v>2.9</v>
      </c>
      <c r="G23">
        <v>2</v>
      </c>
      <c r="H23">
        <v>4.9</v>
      </c>
      <c r="I23">
        <f t="shared" si="9"/>
        <v>119.96795647608869</v>
      </c>
      <c r="J23" s="1" t="s">
        <v>209</v>
      </c>
      <c r="K23">
        <v>0.9189478455689315</v>
      </c>
      <c r="L23">
        <f t="shared" si="6"/>
        <v>-0.34574463955575657</v>
      </c>
      <c r="M23">
        <v>0.4510818578193722</v>
      </c>
      <c r="N23">
        <f t="shared" si="10"/>
        <v>64.5552453997418</v>
      </c>
      <c r="O23" t="s">
        <v>776</v>
      </c>
      <c r="P23" s="213">
        <f>RSQ(I3:I11,N3:N11)</f>
        <v>0.9641698452530297</v>
      </c>
      <c r="S23">
        <f t="shared" si="7"/>
        <v>0.2852638921743751</v>
      </c>
      <c r="T23">
        <f t="shared" si="11"/>
        <v>3.981052154431069</v>
      </c>
      <c r="U23">
        <f t="shared" si="12"/>
        <v>1.9810521544310684</v>
      </c>
      <c r="V23">
        <f t="shared" si="8"/>
        <v>55.41271107634688</v>
      </c>
      <c r="AL23" s="1" t="s">
        <v>209</v>
      </c>
      <c r="AM23">
        <v>15.9175745140577</v>
      </c>
      <c r="AN23" s="1">
        <f t="shared" si="13"/>
        <v>0.4510818578193722</v>
      </c>
    </row>
    <row r="24" spans="10:16" ht="12.75">
      <c r="J24" s="1"/>
      <c r="O24" t="s">
        <v>786</v>
      </c>
      <c r="P24" s="143">
        <f>AVERAGE(V3:V11)/AVERAGE(I3:I11)</f>
        <v>0.15086065289612965</v>
      </c>
    </row>
    <row r="25" ht="12.75">
      <c r="AN25" s="1"/>
    </row>
    <row r="26" spans="1:15" ht="12.75">
      <c r="A26" s="1" t="s">
        <v>780</v>
      </c>
      <c r="C26" s="1">
        <v>7.3</v>
      </c>
      <c r="D26" s="1">
        <v>149</v>
      </c>
      <c r="E26" s="1"/>
      <c r="F26" s="1">
        <v>493</v>
      </c>
      <c r="G26" s="1">
        <v>138</v>
      </c>
      <c r="H26" s="1">
        <v>631</v>
      </c>
      <c r="I26" s="1"/>
      <c r="J26" s="1" t="s">
        <v>781</v>
      </c>
      <c r="K26" s="1">
        <f>SUM(Loads!AD63:AD67)</f>
        <v>496.3553335325125</v>
      </c>
      <c r="L26" s="1"/>
      <c r="M26" s="1">
        <f>SUM(Q_monthly_by_region!AC2:AC6)/3.28^3</f>
        <v>145.9364577173543</v>
      </c>
      <c r="N26" s="1"/>
      <c r="O26" s="1" t="s">
        <v>788</v>
      </c>
    </row>
    <row r="27" spans="15:40" ht="12.75">
      <c r="O27" t="s">
        <v>776</v>
      </c>
      <c r="P27" s="215">
        <f>RSQ(I12:I23,N12:N23)</f>
        <v>0.02390743672671273</v>
      </c>
      <c r="AN27" s="1"/>
    </row>
    <row r="28" spans="12:40" ht="12.75">
      <c r="L28" s="206">
        <f>(LOG10(M28)-LOG10(M26))/LOG10(M28)</f>
        <v>0.029124577224663547</v>
      </c>
      <c r="M28" s="1">
        <f>Q_monthly_by_region!AB8/3.28^3</f>
        <v>169.46692823942757</v>
      </c>
      <c r="N28" s="1"/>
      <c r="O28" t="s">
        <v>777</v>
      </c>
      <c r="P28" s="143">
        <f>AVERAGE(V12:V23)/AVERAGE(I12:I23)</f>
        <v>-1.3711503504481872</v>
      </c>
      <c r="R28" t="s">
        <v>802</v>
      </c>
      <c r="T28" t="s">
        <v>803</v>
      </c>
      <c r="V28" t="s">
        <v>804</v>
      </c>
      <c r="AN28" s="1"/>
    </row>
    <row r="29" spans="10:22" ht="12.75">
      <c r="J29" s="1"/>
      <c r="T29">
        <f>MEDIAN(N12:N23)</f>
        <v>266.4236836764238</v>
      </c>
      <c r="V29">
        <f>MEDIAN(I12:I23)</f>
        <v>119.38379479945786</v>
      </c>
    </row>
    <row r="30" spans="10:40" ht="12.75">
      <c r="J30" s="1"/>
      <c r="M30" s="143">
        <f>(M28-C26-D26)/(C26+D26)</f>
        <v>0.08424138348961972</v>
      </c>
      <c r="N30" s="143"/>
      <c r="T30">
        <f>AVERAGE(N12:N23)</f>
        <v>283.0635245712658</v>
      </c>
      <c r="V30">
        <f>AVERAGE(I12:I23)</f>
        <v>119.37814256180002</v>
      </c>
      <c r="AN30" s="1"/>
    </row>
    <row r="31" spans="10:40" ht="12.75">
      <c r="J31" s="1"/>
      <c r="T31">
        <f>MAX(N12:N23)</f>
        <v>724.3068911029175</v>
      </c>
      <c r="AN31" s="1"/>
    </row>
    <row r="33" ht="12.75">
      <c r="AN33" s="1"/>
    </row>
    <row r="35" ht="12.75">
      <c r="J35" s="1"/>
    </row>
    <row r="36" ht="12.75">
      <c r="AN36" s="1"/>
    </row>
    <row r="38" ht="12.75">
      <c r="J38" s="1"/>
    </row>
    <row r="39" ht="12.75">
      <c r="AN39" s="1"/>
    </row>
    <row r="40" ht="12.75">
      <c r="J40" s="1"/>
    </row>
    <row r="41" ht="12.75">
      <c r="AN41" s="1"/>
    </row>
    <row r="42" ht="12.75">
      <c r="AN42" s="1"/>
    </row>
    <row r="44" ht="12.75">
      <c r="AN44" s="1"/>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L102"/>
  <sheetViews>
    <sheetView zoomScale="75" zoomScaleNormal="75" workbookViewId="0" topLeftCell="A2">
      <pane xSplit="3300" ySplit="900" topLeftCell="AQ33" activePane="bottomRight" state="split"/>
      <selection pane="topLeft" activeCell="A1" sqref="A1"/>
      <selection pane="topRight" activeCell="AT2" sqref="AT2"/>
      <selection pane="bottomLeft" activeCell="A7" sqref="A7"/>
      <selection pane="bottomRight" activeCell="AV48" sqref="AV48"/>
    </sheetView>
  </sheetViews>
  <sheetFormatPr defaultColWidth="9.140625" defaultRowHeight="12.75"/>
  <cols>
    <col min="1" max="1" width="36.7109375" style="1" customWidth="1"/>
    <col min="2" max="2" width="10.00390625" style="0" bestFit="1" customWidth="1"/>
    <col min="16" max="16" width="10.421875" style="0" customWidth="1"/>
    <col min="17" max="17" width="9.28125" style="0" bestFit="1" customWidth="1"/>
    <col min="18" max="18" width="9.57421875" style="0" bestFit="1" customWidth="1"/>
    <col min="19" max="20" width="9.00390625" style="0" bestFit="1" customWidth="1"/>
    <col min="37" max="37" width="9.57421875" style="0" bestFit="1" customWidth="1"/>
    <col min="44" max="44" width="11.57421875" style="0" bestFit="1" customWidth="1"/>
    <col min="45" max="51" width="11.57421875" style="0" customWidth="1"/>
    <col min="55" max="55" width="12.28125" style="0" bestFit="1" customWidth="1"/>
  </cols>
  <sheetData>
    <row r="1" spans="21:37" ht="12.75">
      <c r="U1" t="s">
        <v>630</v>
      </c>
      <c r="V1" t="s">
        <v>630</v>
      </c>
      <c r="W1" t="s">
        <v>630</v>
      </c>
      <c r="X1" t="s">
        <v>630</v>
      </c>
      <c r="Y1" t="s">
        <v>630</v>
      </c>
      <c r="Z1" t="s">
        <v>630</v>
      </c>
      <c r="AA1" t="s">
        <v>630</v>
      </c>
      <c r="AB1" t="s">
        <v>630</v>
      </c>
      <c r="AK1" s="5"/>
    </row>
    <row r="2" spans="1:60" s="5" customFormat="1" ht="48" customHeight="1">
      <c r="A2" s="4" t="s">
        <v>166</v>
      </c>
      <c r="B2" s="5" t="s">
        <v>142</v>
      </c>
      <c r="C2" s="5" t="s">
        <v>164</v>
      </c>
      <c r="D2" s="5" t="s">
        <v>143</v>
      </c>
      <c r="E2" s="5" t="s">
        <v>144</v>
      </c>
      <c r="F2" s="5" t="s">
        <v>145</v>
      </c>
      <c r="G2" s="5" t="s">
        <v>146</v>
      </c>
      <c r="H2" s="5" t="s">
        <v>165</v>
      </c>
      <c r="I2" s="5" t="s">
        <v>148</v>
      </c>
      <c r="J2" s="5" t="s">
        <v>644</v>
      </c>
      <c r="K2" s="5" t="s">
        <v>613</v>
      </c>
      <c r="L2" s="5" t="s">
        <v>789</v>
      </c>
      <c r="M2" s="5" t="s">
        <v>790</v>
      </c>
      <c r="N2" s="5" t="s">
        <v>791</v>
      </c>
      <c r="O2" s="5" t="s">
        <v>792</v>
      </c>
      <c r="P2" s="5" t="s">
        <v>158</v>
      </c>
      <c r="Q2" s="5" t="s">
        <v>210</v>
      </c>
      <c r="R2" s="5" t="s">
        <v>211</v>
      </c>
      <c r="S2" s="5" t="s">
        <v>212</v>
      </c>
      <c r="T2" s="5" t="s">
        <v>213</v>
      </c>
      <c r="U2" s="5" t="s">
        <v>622</v>
      </c>
      <c r="V2" s="5" t="s">
        <v>623</v>
      </c>
      <c r="W2" s="5" t="s">
        <v>624</v>
      </c>
      <c r="X2" s="5" t="s">
        <v>625</v>
      </c>
      <c r="Y2" s="5" t="s">
        <v>626</v>
      </c>
      <c r="Z2" s="5" t="s">
        <v>627</v>
      </c>
      <c r="AA2" s="5" t="s">
        <v>628</v>
      </c>
      <c r="AB2" s="5" t="s">
        <v>629</v>
      </c>
      <c r="AC2" s="5" t="s">
        <v>70</v>
      </c>
      <c r="AD2" s="5" t="s">
        <v>71</v>
      </c>
      <c r="AE2" s="5" t="s">
        <v>72</v>
      </c>
      <c r="AF2" s="5" t="s">
        <v>73</v>
      </c>
      <c r="AG2" s="5" t="s">
        <v>74</v>
      </c>
      <c r="AH2" s="5" t="s">
        <v>75</v>
      </c>
      <c r="AI2" t="s">
        <v>232</v>
      </c>
      <c r="AJ2" s="5" t="s">
        <v>231</v>
      </c>
      <c r="AK2" s="5" t="s">
        <v>233</v>
      </c>
      <c r="AL2" s="5" t="s">
        <v>234</v>
      </c>
      <c r="AM2" s="5" t="s">
        <v>235</v>
      </c>
      <c r="AN2" s="5" t="s">
        <v>236</v>
      </c>
      <c r="AO2" s="5" t="s">
        <v>237</v>
      </c>
      <c r="AP2" s="5" t="s">
        <v>238</v>
      </c>
      <c r="AQ2" s="5" t="s">
        <v>239</v>
      </c>
      <c r="AR2" s="5" t="s">
        <v>240</v>
      </c>
      <c r="AS2" s="5" t="s">
        <v>76</v>
      </c>
      <c r="AT2" s="5" t="s">
        <v>77</v>
      </c>
      <c r="AU2" s="5" t="s">
        <v>78</v>
      </c>
      <c r="AV2" s="5" t="s">
        <v>79</v>
      </c>
      <c r="AW2" s="5" t="s">
        <v>80</v>
      </c>
      <c r="AX2" s="5" t="s">
        <v>81</v>
      </c>
      <c r="AY2" s="5" t="s">
        <v>82</v>
      </c>
      <c r="BA2" s="5" t="s">
        <v>265</v>
      </c>
      <c r="BB2" s="5" t="s">
        <v>266</v>
      </c>
      <c r="BC2" s="5" t="s">
        <v>267</v>
      </c>
      <c r="BD2" s="5" t="s">
        <v>268</v>
      </c>
      <c r="BE2" s="5" t="s">
        <v>269</v>
      </c>
      <c r="BF2" s="5" t="s">
        <v>270</v>
      </c>
      <c r="BG2" s="5" t="s">
        <v>271</v>
      </c>
      <c r="BH2" s="5" t="s">
        <v>272</v>
      </c>
    </row>
    <row r="3" spans="1:64" ht="12.75">
      <c r="A3" s="1" t="s">
        <v>167</v>
      </c>
      <c r="B3">
        <v>1008.76725396623</v>
      </c>
      <c r="C3">
        <v>17.0629454993056</v>
      </c>
      <c r="D3">
        <v>270.807579923826</v>
      </c>
      <c r="E3">
        <v>244.095839809455</v>
      </c>
      <c r="F3">
        <v>9.02409069579171</v>
      </c>
      <c r="G3">
        <v>0.558526578713048</v>
      </c>
      <c r="H3">
        <v>17.9467424574344</v>
      </c>
      <c r="I3">
        <v>8586.90216560789</v>
      </c>
      <c r="J3">
        <v>253.67845708395973</v>
      </c>
      <c r="K3">
        <v>27.9085574847602</v>
      </c>
      <c r="L3">
        <v>338.19379344095</v>
      </c>
      <c r="M3">
        <v>298.716137408586</v>
      </c>
      <c r="N3">
        <v>1346.96104740718</v>
      </c>
      <c r="O3">
        <f>K3+C3</f>
        <v>44.97150298406579</v>
      </c>
      <c r="P3" s="3">
        <f>(B3/12.011)/(C3/14.0067)</f>
        <v>68.94354844633426</v>
      </c>
      <c r="Q3" s="2">
        <f>C3/D3*100</f>
        <v>6.300763628590139</v>
      </c>
      <c r="R3" s="2">
        <f>E3/D3*100</f>
        <v>90.13626571239823</v>
      </c>
      <c r="S3" s="2">
        <f>F3/D3*100</f>
        <v>3.3322888149327463</v>
      </c>
      <c r="T3" s="2">
        <f>G3/D3*100</f>
        <v>0.2062448100123907</v>
      </c>
      <c r="U3">
        <f>B3*($AJ$3/3.28^3)/1000000*365.25*86400/1000</f>
        <v>0.3018985189261844</v>
      </c>
      <c r="V3">
        <f aca="true" t="shared" si="0" ref="V3:V45">C3*(AJ3/3.28^3)/1000000*365.25*86400/1000</f>
        <v>0.005106507922917779</v>
      </c>
      <c r="W3">
        <f aca="true" t="shared" si="1" ref="W3:W45">D3*(AJ3/3.28^3)/1000000*365.25*86400/1000</f>
        <v>0.08104585767583242</v>
      </c>
      <c r="X3">
        <f aca="true" t="shared" si="2" ref="X3:X45">E3*(AJ3/3.28^3)/1000000*365.25*86400/1000</f>
        <v>0.0730517096235804</v>
      </c>
      <c r="Y3">
        <f aca="true" t="shared" si="3" ref="Y3:Y45">F3*(AJ3/3.28^3)/1000000*365.25*86400/1000</f>
        <v>0.002700682050298076</v>
      </c>
      <c r="Z3">
        <f aca="true" t="shared" si="4" ref="Z3:Z45">G3*(AJ3/3.28^3)/1000000*365.25*86400/1000</f>
        <v>0.00016715287518643315</v>
      </c>
      <c r="AA3">
        <f aca="true" t="shared" si="5" ref="AA3:AA45">H3*(AJ3/3.28^3)/1000000*365.25*86400/1000</f>
        <v>0.005371005993846918</v>
      </c>
      <c r="AB3">
        <f aca="true" t="shared" si="6" ref="AB3:AB45">I3*(AJ3/3.28^3)/1000000*365.25*86400/1000</f>
        <v>2.569842583379348</v>
      </c>
      <c r="AC3">
        <f aca="true" t="shared" si="7" ref="AC3:AC45">J3*(AJ3/3.28^3)/1000000*365.25*86400/1000</f>
        <v>0.07591954454906492</v>
      </c>
      <c r="AD3">
        <f>K3*(AJ3/3.28^3)/1000000*365.25*86400/1000</f>
        <v>0.00835232521365869</v>
      </c>
      <c r="AE3">
        <f>L3*(AJ3/3.28^3)/1000000*365.25*86400/1000</f>
        <v>0.10121284661889779</v>
      </c>
      <c r="AF3">
        <f>M3*(AJ3/3.28^3)/1000000*365.25*86400/1000</f>
        <v>0.08939818288949107</v>
      </c>
      <c r="AG3">
        <f>N3*(AJ3/3.28^3)/1000000*365.25*86400/1000</f>
        <v>0.4031113655450822</v>
      </c>
      <c r="AH3">
        <f>O3*(AJ3/3.28^3)/1000000*365.25*86400/1000</f>
        <v>0.013458833136576467</v>
      </c>
      <c r="AI3" s="8">
        <v>417893.687055</v>
      </c>
      <c r="AJ3">
        <v>0.334647488890153</v>
      </c>
      <c r="AK3" s="3">
        <f aca="true" t="shared" si="8" ref="AK3:AK45">(U3*1000)/(AI3/10000)</f>
        <v>7.224290011503592</v>
      </c>
      <c r="AL3" s="3">
        <f aca="true" t="shared" si="9" ref="AL3:AL45">(V3*1000)/(AI3/10000)</f>
        <v>0.12219634038754215</v>
      </c>
      <c r="AM3" s="3">
        <f aca="true" t="shared" si="10" ref="AM3:AM45">(W3*1000)/(AI3/10000)</f>
        <v>1.9393893754888378</v>
      </c>
      <c r="AN3" s="3">
        <f aca="true" t="shared" si="11" ref="AN3:AN45">(X3*1000)/(AI3/10000)</f>
        <v>1.7480931606886394</v>
      </c>
      <c r="AO3" s="3">
        <f aca="true" t="shared" si="12" ref="AO3:AO45">(Y3*1000)/(AI3/10000)</f>
        <v>0.06462605523740858</v>
      </c>
      <c r="AP3" s="3">
        <f aca="true" t="shared" si="13" ref="AP3:AP45">(Z3*1000)/(AI3/10000)</f>
        <v>0.003999889932877444</v>
      </c>
      <c r="AQ3" s="3">
        <f aca="true" t="shared" si="14" ref="AQ3:AQ45">(AA3*1000)/(AI3/10000)</f>
        <v>0.128525655213835</v>
      </c>
      <c r="AR3" s="3">
        <f aca="true" t="shared" si="15" ref="AR3:AR45">(AB3*1000)/(AI3/10000)</f>
        <v>61.495128138681956</v>
      </c>
      <c r="AS3" s="3">
        <f>(AC3*1000)/(AI3/10000)</f>
        <v>1.8167191058589256</v>
      </c>
      <c r="AT3" s="3">
        <f>(AD3*1000)/(AI3/10000)</f>
        <v>0.1998672263397801</v>
      </c>
      <c r="AU3" s="3">
        <f>(AE3*1000)/(AI3/10000)</f>
        <v>2.421975965518161</v>
      </c>
      <c r="AV3" s="3">
        <f>(AF3*1000)/(AI3/10000)</f>
        <v>2.1392566018286168</v>
      </c>
      <c r="AW3" s="3">
        <f>(AG3*1000)/(AI3/10000)</f>
        <v>9.646265977021754</v>
      </c>
      <c r="AX3" s="3">
        <f>(AH3*1000)/(AI3/10000)</f>
        <v>0.32206356672732217</v>
      </c>
      <c r="AY3" s="2">
        <f>AX3/AV3</f>
        <v>0.15054929196059286</v>
      </c>
      <c r="BA3" s="1">
        <f>SUMPRODUCT($AJ$3:$AJ$45,B3:B45)/SUM($AJ$3:$AJ$45)</f>
        <v>831.1275701879662</v>
      </c>
      <c r="BB3" s="1">
        <f>SUMPRODUCT($AJ$3:$AJ$45,C3:C45)/SUM($AJ$3:$AJ$45)</f>
        <v>31.778597416245372</v>
      </c>
      <c r="BC3" s="1">
        <f>SUMPRODUCT(D3:D45,$AJ$3:$AJ$45)/SUM($AJ$3:$AJ$45)</f>
        <v>112.14651999692627</v>
      </c>
      <c r="BD3" s="1">
        <f>SUMPRODUCT(E3:E45,$AJ$3:$AJ$45)/SUM($AJ$3:$AJ$45)</f>
        <v>69.5420054096538</v>
      </c>
      <c r="BE3" s="1">
        <f>SUMPRODUCT($AJ$3:$AJ$45,F3:F45)/SUM($AJ$3:$AJ$45)</f>
        <v>9.922655876876272</v>
      </c>
      <c r="BF3" s="1">
        <f>SUMPRODUCT($AJ$3:$AJ$45,G3:G45)/SUM($AJ$3:$AJ$45)</f>
        <v>1.0570976376846857</v>
      </c>
      <c r="BG3" s="1">
        <f>SUMPRODUCT($AJ$3:$AJ$45,H3:H45)/SUM($AJ$3:$AJ$45)</f>
        <v>6.668878053355886</v>
      </c>
      <c r="BH3" s="1">
        <f>SUMPRODUCT($AJ$3:$AJ$45,I3:I45)/SUM($AJ$3:$AJ$45)</f>
        <v>4665.4340110049425</v>
      </c>
      <c r="BI3" s="1"/>
      <c r="BJ3" s="1"/>
      <c r="BK3" s="1"/>
      <c r="BL3" s="1"/>
    </row>
    <row r="4" spans="1:51" ht="12.75">
      <c r="A4" s="1" t="s">
        <v>168</v>
      </c>
      <c r="B4">
        <v>2101.81608134033</v>
      </c>
      <c r="C4">
        <v>53.9775008254456</v>
      </c>
      <c r="D4">
        <v>240.405133052835</v>
      </c>
      <c r="E4">
        <v>175.034640212782</v>
      </c>
      <c r="F4">
        <v>10.2906233181258</v>
      </c>
      <c r="G4">
        <v>1.20314852237392</v>
      </c>
      <c r="H4">
        <v>11.1378773660033</v>
      </c>
      <c r="I4">
        <v>6511.24067962024</v>
      </c>
      <c r="J4">
        <v>186.5284120532817</v>
      </c>
      <c r="K4">
        <v>46.5638192585711</v>
      </c>
      <c r="L4">
        <v>508.297599902048</v>
      </c>
      <c r="M4">
        <v>286.968952311406</v>
      </c>
      <c r="N4">
        <v>2610.11368124237</v>
      </c>
      <c r="O4">
        <f aca="true" t="shared" si="16" ref="O4:O45">K4+C4</f>
        <v>100.5413200840167</v>
      </c>
      <c r="P4" s="3">
        <f aca="true" t="shared" si="17" ref="P4:P45">(B4/12.011)/(C4/14.0067)</f>
        <v>45.40865075941954</v>
      </c>
      <c r="Q4" s="2">
        <f aca="true" t="shared" si="18" ref="Q4:Q45">C4/D4*100</f>
        <v>22.45272392481849</v>
      </c>
      <c r="R4" s="2">
        <f aca="true" t="shared" si="19" ref="R4:R45">E4/D4*100</f>
        <v>72.80819589418408</v>
      </c>
      <c r="S4" s="2">
        <f aca="true" t="shared" si="20" ref="S4:S45">F4/D4*100</f>
        <v>4.280533941787415</v>
      </c>
      <c r="T4" s="2">
        <f aca="true" t="shared" si="21" ref="T4:T45">G4/D4*100</f>
        <v>0.5004670686917064</v>
      </c>
      <c r="U4">
        <f aca="true" t="shared" si="22" ref="U4:U45">B4*(AJ4/3.28^3)/1000000*365.25*86400/1000</f>
        <v>23.224892964139276</v>
      </c>
      <c r="V4">
        <f t="shared" si="0"/>
        <v>0.5964468966967261</v>
      </c>
      <c r="W4">
        <f t="shared" si="1"/>
        <v>2.6564567341311927</v>
      </c>
      <c r="X4">
        <f t="shared" si="2"/>
        <v>1.9341182228304836</v>
      </c>
      <c r="Y4">
        <f t="shared" si="3"/>
        <v>0.11371053215338318</v>
      </c>
      <c r="Z4">
        <f t="shared" si="4"/>
        <v>0.013294691148369816</v>
      </c>
      <c r="AA4">
        <f t="shared" si="5"/>
        <v>0.12307261894588711</v>
      </c>
      <c r="AB4">
        <f t="shared" si="6"/>
        <v>71.94866819721668</v>
      </c>
      <c r="AC4">
        <f t="shared" si="7"/>
        <v>2.0611234461322363</v>
      </c>
      <c r="AD4">
        <f aca="true" t="shared" si="23" ref="AD4:AD45">K4*(AJ4/3.28^3)/1000000*365.25*86400/1000</f>
        <v>0.5145263317198553</v>
      </c>
      <c r="AE4">
        <f aca="true" t="shared" si="24" ref="AE4:AE45">L4*(AJ4/3.28^3)/1000000*365.25*86400/1000</f>
        <v>5.616646221550363</v>
      </c>
      <c r="AF4">
        <f aca="true" t="shared" si="25" ref="AF4:AF45">M4*(AJ4/3.28^3)/1000000*365.25*86400/1000</f>
        <v>3.170983065851046</v>
      </c>
      <c r="AG4">
        <f aca="true" t="shared" si="26" ref="AG4:AG45">N4*(AJ4/3.28^3)/1000000*365.25*86400/1000</f>
        <v>28.84153918568955</v>
      </c>
      <c r="AH4">
        <f aca="true" t="shared" si="27" ref="AH4:AH45">O4*(AJ4/3.28^3)/1000000*365.25*86400/1000</f>
        <v>1.1109732284165814</v>
      </c>
      <c r="AI4" s="8">
        <v>15429605.2273</v>
      </c>
      <c r="AJ4">
        <v>12.3559623027781</v>
      </c>
      <c r="AK4" s="3">
        <f t="shared" si="8"/>
        <v>15.052162788356291</v>
      </c>
      <c r="AL4" s="3">
        <f t="shared" si="9"/>
        <v>0.38656004992364756</v>
      </c>
      <c r="AM4" s="3">
        <f t="shared" si="10"/>
        <v>1.7216621520757092</v>
      </c>
      <c r="AN4" s="3">
        <f t="shared" si="11"/>
        <v>1.2535111523193077</v>
      </c>
      <c r="AO4" s="3">
        <f t="shared" si="12"/>
        <v>0.0736963327825084</v>
      </c>
      <c r="AP4" s="3">
        <f t="shared" si="13"/>
        <v>0.008616352105267849</v>
      </c>
      <c r="AQ4" s="3">
        <f t="shared" si="14"/>
        <v>0.07976394543661529</v>
      </c>
      <c r="AR4" s="3">
        <f t="shared" si="15"/>
        <v>46.630271570341954</v>
      </c>
      <c r="AS4" s="3">
        <f aca="true" t="shared" si="28" ref="AS4:AS45">(AC4*1000)/(AI4/10000)</f>
        <v>1.3358238372070839</v>
      </c>
      <c r="AT4" s="3">
        <f aca="true" t="shared" si="29" ref="AT4:AT45">(AD4*1000)/(AI4/10000)</f>
        <v>0.3334669449672572</v>
      </c>
      <c r="AU4" s="3">
        <f aca="true" t="shared" si="30" ref="AU4:AU45">(AE4*1000)/(AI4/10000)</f>
        <v>3.640174935657256</v>
      </c>
      <c r="AV4" s="3">
        <f aca="true" t="shared" si="31" ref="AV4:AV45">(AF4*1000)/(AI4/10000)</f>
        <v>2.055129097042965</v>
      </c>
      <c r="AW4" s="3">
        <f aca="true" t="shared" si="32" ref="AW4:AW45">(AG4*1000)/(AI4/10000)</f>
        <v>18.69233772401349</v>
      </c>
      <c r="AX4" s="3">
        <f aca="true" t="shared" si="33" ref="AX4:AX45">(AH4*1000)/(AI4/10000)</f>
        <v>0.7200269948909048</v>
      </c>
      <c r="AY4" s="2">
        <f aca="true" t="shared" si="34" ref="AY4:AY45">AX4/AV4</f>
        <v>0.350356090002774</v>
      </c>
    </row>
    <row r="5" spans="1:51" ht="12.75">
      <c r="A5" s="1" t="s">
        <v>169</v>
      </c>
      <c r="B5">
        <v>3171.8886330487</v>
      </c>
      <c r="C5">
        <v>91.4999182451347</v>
      </c>
      <c r="D5">
        <v>384.791223396381</v>
      </c>
      <c r="E5">
        <v>280.34643504397</v>
      </c>
      <c r="F5">
        <v>13.2874754258493</v>
      </c>
      <c r="G5">
        <v>1.0837320701023</v>
      </c>
      <c r="H5">
        <v>8.80709850377637</v>
      </c>
      <c r="I5">
        <v>5522.08576246139</v>
      </c>
      <c r="J5">
        <v>294.71764253992166</v>
      </c>
      <c r="K5">
        <v>53.7688897638421</v>
      </c>
      <c r="L5">
        <v>607.227707483889</v>
      </c>
      <c r="M5">
        <v>438.560113160223</v>
      </c>
      <c r="N5">
        <v>3779.11634053259</v>
      </c>
      <c r="O5">
        <f t="shared" si="16"/>
        <v>145.2688080089768</v>
      </c>
      <c r="P5" s="3">
        <f t="shared" si="17"/>
        <v>40.42535891508846</v>
      </c>
      <c r="Q5" s="2">
        <f t="shared" si="18"/>
        <v>23.779107391666994</v>
      </c>
      <c r="R5" s="2">
        <f t="shared" si="19"/>
        <v>72.85676439537178</v>
      </c>
      <c r="S5" s="2">
        <f t="shared" si="20"/>
        <v>3.4531648899282743</v>
      </c>
      <c r="T5" s="2">
        <f t="shared" si="21"/>
        <v>0.2816415770964522</v>
      </c>
      <c r="U5">
        <f t="shared" si="22"/>
        <v>105.06250022109126</v>
      </c>
      <c r="V5">
        <f t="shared" si="0"/>
        <v>3.0307527448148264</v>
      </c>
      <c r="W5">
        <f t="shared" si="1"/>
        <v>12.745443699358137</v>
      </c>
      <c r="X5">
        <f t="shared" si="2"/>
        <v>9.285917887186116</v>
      </c>
      <c r="Y5">
        <f t="shared" si="3"/>
        <v>0.44012118689181057</v>
      </c>
      <c r="Z5">
        <f t="shared" si="4"/>
        <v>0.03589646864281267</v>
      </c>
      <c r="AA5">
        <f t="shared" si="5"/>
        <v>0.2917176154481873</v>
      </c>
      <c r="AB5">
        <f t="shared" si="6"/>
        <v>182.90810421103996</v>
      </c>
      <c r="AC5">
        <f t="shared" si="7"/>
        <v>9.76193554272074</v>
      </c>
      <c r="AD5">
        <f t="shared" si="23"/>
        <v>1.780987495538831</v>
      </c>
      <c r="AE5">
        <f t="shared" si="24"/>
        <v>20.113209678001738</v>
      </c>
      <c r="AF5">
        <f t="shared" si="25"/>
        <v>14.526431194896968</v>
      </c>
      <c r="AG5">
        <f t="shared" si="26"/>
        <v>125.17570989909302</v>
      </c>
      <c r="AH5">
        <f t="shared" si="27"/>
        <v>4.811740240353658</v>
      </c>
      <c r="AI5" s="8">
        <v>37437216.5208</v>
      </c>
      <c r="AJ5">
        <v>37.0379861694938</v>
      </c>
      <c r="AK5" s="3">
        <f t="shared" si="8"/>
        <v>28.063651623971257</v>
      </c>
      <c r="AL5" s="3">
        <f t="shared" si="9"/>
        <v>0.8095561119323466</v>
      </c>
      <c r="AM5" s="3">
        <f t="shared" si="10"/>
        <v>3.404484863952641</v>
      </c>
      <c r="AN5" s="3">
        <f t="shared" si="11"/>
        <v>2.48039751620607</v>
      </c>
      <c r="AO5" s="3">
        <f t="shared" si="12"/>
        <v>0.11756247600493498</v>
      </c>
      <c r="AP5" s="3">
        <f t="shared" si="13"/>
        <v>0.009588444862846228</v>
      </c>
      <c r="AQ5" s="3">
        <f t="shared" si="14"/>
        <v>0.0779218228700603</v>
      </c>
      <c r="AR5" s="3">
        <f t="shared" si="15"/>
        <v>48.85729261132883</v>
      </c>
      <c r="AS5" s="3">
        <f t="shared" si="28"/>
        <v>2.6075484370738513</v>
      </c>
      <c r="AT5" s="3">
        <f t="shared" si="29"/>
        <v>0.47572647249277195</v>
      </c>
      <c r="AU5" s="3">
        <f t="shared" si="30"/>
        <v>5.372517389701476</v>
      </c>
      <c r="AV5" s="3">
        <f t="shared" si="31"/>
        <v>3.8802113364454134</v>
      </c>
      <c r="AW5" s="3">
        <f t="shared" si="32"/>
        <v>33.43616901367274</v>
      </c>
      <c r="AX5" s="3">
        <f t="shared" si="33"/>
        <v>1.2852825844251188</v>
      </c>
      <c r="AY5" s="2">
        <f t="shared" si="34"/>
        <v>0.33124035599631574</v>
      </c>
    </row>
    <row r="6" spans="1:51" ht="12.75">
      <c r="A6" s="1" t="s">
        <v>170</v>
      </c>
      <c r="B6">
        <v>2568.55796633514</v>
      </c>
      <c r="C6">
        <v>68.6883208441749</v>
      </c>
      <c r="D6">
        <v>283.663834321452</v>
      </c>
      <c r="E6">
        <v>193.692364801821</v>
      </c>
      <c r="F6">
        <v>20.1328059349361</v>
      </c>
      <c r="G6">
        <v>1.05208705910488</v>
      </c>
      <c r="H6">
        <v>14.36237905978</v>
      </c>
      <c r="I6">
        <v>7415.24850264507</v>
      </c>
      <c r="J6">
        <v>214.87725779586196</v>
      </c>
      <c r="K6">
        <v>76.5030001896864</v>
      </c>
      <c r="L6">
        <v>835.333847606959</v>
      </c>
      <c r="M6">
        <v>360.166834511139</v>
      </c>
      <c r="N6">
        <v>3403.8918139421</v>
      </c>
      <c r="O6">
        <f t="shared" si="16"/>
        <v>145.1913210338613</v>
      </c>
      <c r="P6" s="3">
        <f t="shared" si="17"/>
        <v>43.60769498672457</v>
      </c>
      <c r="Q6" s="2">
        <f t="shared" si="18"/>
        <v>24.214690959276922</v>
      </c>
      <c r="R6" s="2">
        <f t="shared" si="19"/>
        <v>68.2823615020045</v>
      </c>
      <c r="S6" s="2">
        <f t="shared" si="20"/>
        <v>7.097417259093139</v>
      </c>
      <c r="T6" s="2">
        <f t="shared" si="21"/>
        <v>0.370892208244157</v>
      </c>
      <c r="U6">
        <f t="shared" si="22"/>
        <v>7.823367143790947</v>
      </c>
      <c r="V6">
        <f t="shared" si="0"/>
        <v>0.20921231270525795</v>
      </c>
      <c r="W6">
        <f t="shared" si="1"/>
        <v>0.8639891917559508</v>
      </c>
      <c r="X6">
        <f t="shared" si="2"/>
        <v>0.5899522232530453</v>
      </c>
      <c r="Y6">
        <f t="shared" si="3"/>
        <v>0.061320918012386164</v>
      </c>
      <c r="Z6">
        <f t="shared" si="4"/>
        <v>0.0032044685922944897</v>
      </c>
      <c r="AA6">
        <f t="shared" si="5"/>
        <v>0.04374523211686522</v>
      </c>
      <c r="AB6">
        <f t="shared" si="6"/>
        <v>22.58551773367654</v>
      </c>
      <c r="AC6">
        <f t="shared" si="7"/>
        <v>0.6544776098577259</v>
      </c>
      <c r="AD6">
        <f t="shared" si="23"/>
        <v>0.23301442518713736</v>
      </c>
      <c r="AE6">
        <f t="shared" si="24"/>
        <v>2.5442771637305803</v>
      </c>
      <c r="AF6">
        <f t="shared" si="25"/>
        <v>1.09700361694309</v>
      </c>
      <c r="AG6">
        <f t="shared" si="26"/>
        <v>10.367644307521529</v>
      </c>
      <c r="AH6">
        <f t="shared" si="27"/>
        <v>0.4422267378923953</v>
      </c>
      <c r="AI6" s="8">
        <v>4253046.63322</v>
      </c>
      <c r="AJ6">
        <v>3.40582167190155</v>
      </c>
      <c r="AK6" s="3">
        <f t="shared" si="8"/>
        <v>18.394736334851427</v>
      </c>
      <c r="AL6" s="3">
        <f t="shared" si="9"/>
        <v>0.49191163593440873</v>
      </c>
      <c r="AM6" s="3">
        <f t="shared" si="10"/>
        <v>2.0314594836732858</v>
      </c>
      <c r="AN6" s="3">
        <f t="shared" si="11"/>
        <v>1.3871285084085474</v>
      </c>
      <c r="AO6" s="3">
        <f t="shared" si="12"/>
        <v>0.14418115600571216</v>
      </c>
      <c r="AP6" s="3">
        <f t="shared" si="13"/>
        <v>0.0075345249385812</v>
      </c>
      <c r="AQ6" s="3">
        <f t="shared" si="14"/>
        <v>0.10285622493573628</v>
      </c>
      <c r="AR6" s="3">
        <f t="shared" si="15"/>
        <v>53.10432657207181</v>
      </c>
      <c r="AS6" s="3">
        <f t="shared" si="28"/>
        <v>1.5388441893528404</v>
      </c>
      <c r="AT6" s="3">
        <f t="shared" si="29"/>
        <v>0.5478764878031002</v>
      </c>
      <c r="AU6" s="3">
        <f t="shared" si="30"/>
        <v>5.982246100613049</v>
      </c>
      <c r="AV6" s="3">
        <f t="shared" si="31"/>
        <v>2.57933597147639</v>
      </c>
      <c r="AW6" s="3">
        <f t="shared" si="32"/>
        <v>24.37698243546448</v>
      </c>
      <c r="AX6" s="3">
        <f t="shared" si="33"/>
        <v>1.0397881237375088</v>
      </c>
      <c r="AY6" s="2">
        <f t="shared" si="34"/>
        <v>0.40312240640072294</v>
      </c>
    </row>
    <row r="7" spans="1:51" ht="12.75">
      <c r="A7" s="1" t="s">
        <v>171</v>
      </c>
      <c r="B7">
        <v>1205.66280219659</v>
      </c>
      <c r="C7">
        <v>30.4576380655376</v>
      </c>
      <c r="D7">
        <v>113.715948856379</v>
      </c>
      <c r="E7">
        <v>75.6379710373424</v>
      </c>
      <c r="F7">
        <v>9.39111121370376</v>
      </c>
      <c r="G7">
        <v>0.46428464876341</v>
      </c>
      <c r="H7">
        <v>2.93585735944855</v>
      </c>
      <c r="I7">
        <v>5155.50335858383</v>
      </c>
      <c r="J7">
        <v>85.49336689980957</v>
      </c>
      <c r="K7">
        <v>41.55727782119</v>
      </c>
      <c r="L7">
        <v>411.214384889273</v>
      </c>
      <c r="M7">
        <v>155.273226677569</v>
      </c>
      <c r="N7">
        <v>1616.87718708586</v>
      </c>
      <c r="O7">
        <f t="shared" si="16"/>
        <v>72.01491588672761</v>
      </c>
      <c r="P7" s="3">
        <f t="shared" si="17"/>
        <v>46.16217896610682</v>
      </c>
      <c r="Q7" s="2">
        <f t="shared" si="18"/>
        <v>26.783963350651014</v>
      </c>
      <c r="R7" s="2">
        <f t="shared" si="19"/>
        <v>66.51483085531974</v>
      </c>
      <c r="S7" s="2">
        <f t="shared" si="20"/>
        <v>8.2583941022772</v>
      </c>
      <c r="T7" s="2">
        <f t="shared" si="21"/>
        <v>0.4082845488540859</v>
      </c>
      <c r="U7">
        <f t="shared" si="22"/>
        <v>230.46513255226355</v>
      </c>
      <c r="V7">
        <f t="shared" si="0"/>
        <v>5.822045418681197</v>
      </c>
      <c r="W7">
        <f t="shared" si="1"/>
        <v>21.7370571429627</v>
      </c>
      <c r="X7">
        <f t="shared" si="2"/>
        <v>14.458366791565835</v>
      </c>
      <c r="Y7">
        <f t="shared" si="3"/>
        <v>1.7951318451030558</v>
      </c>
      <c r="Z7">
        <f t="shared" si="4"/>
        <v>0.08874904569030011</v>
      </c>
      <c r="AA7">
        <f t="shared" si="5"/>
        <v>0.5611956794778206</v>
      </c>
      <c r="AB7">
        <f t="shared" si="6"/>
        <v>985.4859607055585</v>
      </c>
      <c r="AC7">
        <f t="shared" si="7"/>
        <v>16.342247682359194</v>
      </c>
      <c r="AD7">
        <f t="shared" si="23"/>
        <v>7.943766303582227</v>
      </c>
      <c r="AE7">
        <f t="shared" si="24"/>
        <v>78.60454643557209</v>
      </c>
      <c r="AF7">
        <f t="shared" si="25"/>
        <v>29.680823446544927</v>
      </c>
      <c r="AG7">
        <f t="shared" si="26"/>
        <v>309.06967898783506</v>
      </c>
      <c r="AH7">
        <f t="shared" si="27"/>
        <v>13.765811722263427</v>
      </c>
      <c r="AI7" s="8">
        <v>176933812.35</v>
      </c>
      <c r="AJ7">
        <v>213.745476053147</v>
      </c>
      <c r="AK7" s="3">
        <f t="shared" si="8"/>
        <v>13.025499732994565</v>
      </c>
      <c r="AL7" s="3">
        <f t="shared" si="9"/>
        <v>0.3290521659683889</v>
      </c>
      <c r="AM7" s="3">
        <f t="shared" si="10"/>
        <v>1.228541727228696</v>
      </c>
      <c r="AN7" s="3">
        <f t="shared" si="11"/>
        <v>0.8171624518531907</v>
      </c>
      <c r="AO7" s="3">
        <f t="shared" si="12"/>
        <v>0.10145781754546905</v>
      </c>
      <c r="AP7" s="3">
        <f t="shared" si="13"/>
        <v>0.005015946048499876</v>
      </c>
      <c r="AQ7" s="3">
        <f t="shared" si="14"/>
        <v>0.031717831206151625</v>
      </c>
      <c r="AR7" s="3">
        <f t="shared" si="15"/>
        <v>55.69800071656899</v>
      </c>
      <c r="AS7" s="3">
        <f t="shared" si="28"/>
        <v>0.9236362154471597</v>
      </c>
      <c r="AT7" s="3">
        <f t="shared" si="29"/>
        <v>0.448968244004619</v>
      </c>
      <c r="AU7" s="3">
        <f t="shared" si="30"/>
        <v>4.442596098030219</v>
      </c>
      <c r="AV7" s="3">
        <f t="shared" si="31"/>
        <v>1.677509971233315</v>
      </c>
      <c r="AW7" s="3">
        <f t="shared" si="32"/>
        <v>17.46809583102475</v>
      </c>
      <c r="AX7" s="3">
        <f t="shared" si="33"/>
        <v>0.7780204099730079</v>
      </c>
      <c r="AY7" s="2">
        <f t="shared" si="34"/>
        <v>0.46379480498765846</v>
      </c>
    </row>
    <row r="8" spans="1:51" ht="12.75">
      <c r="A8" s="1" t="s">
        <v>172</v>
      </c>
      <c r="B8">
        <v>3064.62540841592</v>
      </c>
      <c r="C8">
        <v>-104.686588771678</v>
      </c>
      <c r="D8">
        <v>823.787938099781</v>
      </c>
      <c r="E8">
        <v>901.861767547767</v>
      </c>
      <c r="F8">
        <v>5.46795549349085</v>
      </c>
      <c r="G8">
        <v>1.21767131653629</v>
      </c>
      <c r="H8">
        <v>10.992287946339</v>
      </c>
      <c r="I8">
        <v>6438.44753352494</v>
      </c>
      <c r="J8">
        <v>908.5473943577942</v>
      </c>
      <c r="K8">
        <v>44.0759879403552</v>
      </c>
      <c r="L8">
        <v>521.702290050377</v>
      </c>
      <c r="M8">
        <v>867.863926040136</v>
      </c>
      <c r="N8">
        <v>3586.3276984663</v>
      </c>
      <c r="O8">
        <f t="shared" si="16"/>
        <v>-60.610600831322806</v>
      </c>
      <c r="P8" s="3">
        <f t="shared" si="17"/>
        <v>-34.13838794608414</v>
      </c>
      <c r="Q8" s="2">
        <f t="shared" si="18"/>
        <v>-12.707953580038689</v>
      </c>
      <c r="R8" s="2">
        <f t="shared" si="19"/>
        <v>109.47741837882184</v>
      </c>
      <c r="S8" s="2">
        <f t="shared" si="20"/>
        <v>0.6637576541972318</v>
      </c>
      <c r="T8" s="2">
        <f t="shared" si="21"/>
        <v>0.14781368604947942</v>
      </c>
      <c r="U8">
        <f t="shared" si="22"/>
        <v>14.381929912908312</v>
      </c>
      <c r="V8">
        <f t="shared" si="0"/>
        <v>-0.4912819617044019</v>
      </c>
      <c r="W8">
        <f t="shared" si="1"/>
        <v>3.8659407953464235</v>
      </c>
      <c r="X8">
        <f t="shared" si="2"/>
        <v>4.232332178798957</v>
      </c>
      <c r="Y8">
        <f t="shared" si="3"/>
        <v>0.02566047793584523</v>
      </c>
      <c r="Z8">
        <f t="shared" si="4"/>
        <v>0.005714389590092111</v>
      </c>
      <c r="AA8">
        <f t="shared" si="5"/>
        <v>0.05158552637220023</v>
      </c>
      <c r="AB8">
        <f t="shared" si="6"/>
        <v>30.214883985757943</v>
      </c>
      <c r="AC8">
        <f t="shared" si="7"/>
        <v>4.263707046324894</v>
      </c>
      <c r="AD8">
        <f t="shared" si="23"/>
        <v>0.20684347511431653</v>
      </c>
      <c r="AE8">
        <f t="shared" si="24"/>
        <v>2.4482880518786043</v>
      </c>
      <c r="AF8">
        <f t="shared" si="25"/>
        <v>4.072784270460739</v>
      </c>
      <c r="AG8">
        <f t="shared" si="26"/>
        <v>16.830217964786932</v>
      </c>
      <c r="AH8">
        <f t="shared" si="27"/>
        <v>-0.2844384865900855</v>
      </c>
      <c r="AI8" s="8">
        <v>6552930.683986224</v>
      </c>
      <c r="AJ8">
        <v>5.24755904712586</v>
      </c>
      <c r="AK8" s="3">
        <f t="shared" si="8"/>
        <v>21.94732495500718</v>
      </c>
      <c r="AL8" s="3">
        <f t="shared" si="9"/>
        <v>-0.7497133502494938</v>
      </c>
      <c r="AM8" s="3">
        <f t="shared" si="10"/>
        <v>5.899560031657052</v>
      </c>
      <c r="AN8" s="3">
        <f t="shared" si="11"/>
        <v>6.4586860183669454</v>
      </c>
      <c r="AO8" s="3">
        <f t="shared" si="12"/>
        <v>0.03915878127408432</v>
      </c>
      <c r="AP8" s="3">
        <f t="shared" si="13"/>
        <v>0.008720357143494124</v>
      </c>
      <c r="AQ8" s="3">
        <f t="shared" si="14"/>
        <v>0.07872130632827044</v>
      </c>
      <c r="AR8" s="3">
        <f t="shared" si="15"/>
        <v>46.108963214880035</v>
      </c>
      <c r="AS8" s="3">
        <f t="shared" si="28"/>
        <v>6.506565156784525</v>
      </c>
      <c r="AT8" s="3">
        <f t="shared" si="29"/>
        <v>0.3156503327889488</v>
      </c>
      <c r="AU8" s="3">
        <f t="shared" si="30"/>
        <v>3.736172668301875</v>
      </c>
      <c r="AV8" s="3">
        <f t="shared" si="31"/>
        <v>6.215210364445999</v>
      </c>
      <c r="AW8" s="3">
        <f t="shared" si="32"/>
        <v>25.683497623309076</v>
      </c>
      <c r="AX8" s="3">
        <f t="shared" si="33"/>
        <v>-0.43406301746054526</v>
      </c>
      <c r="AY8" s="2">
        <f t="shared" si="34"/>
        <v>-0.06983882958227691</v>
      </c>
    </row>
    <row r="9" spans="1:51" ht="12.75">
      <c r="A9" s="1" t="s">
        <v>173</v>
      </c>
      <c r="B9">
        <v>1902.40362982659</v>
      </c>
      <c r="C9">
        <v>67.5634348345474</v>
      </c>
      <c r="D9">
        <v>188.891954435804</v>
      </c>
      <c r="E9">
        <v>114.206285348409</v>
      </c>
      <c r="F9">
        <v>7.07904909823534</v>
      </c>
      <c r="G9">
        <v>0.542082873061205</v>
      </c>
      <c r="H9">
        <v>6.07557788476461</v>
      </c>
      <c r="I9">
        <v>6012.18493909238</v>
      </c>
      <c r="J9">
        <v>121.82741731970555</v>
      </c>
      <c r="K9">
        <v>26.8248755705999</v>
      </c>
      <c r="L9">
        <v>280.926620111207</v>
      </c>
      <c r="M9">
        <v>215.716830006404</v>
      </c>
      <c r="N9">
        <v>2183.33024993779</v>
      </c>
      <c r="O9">
        <f t="shared" si="16"/>
        <v>94.3883104051473</v>
      </c>
      <c r="P9" s="3">
        <f t="shared" si="17"/>
        <v>32.835800278051956</v>
      </c>
      <c r="Q9" s="2">
        <f t="shared" si="18"/>
        <v>35.768296768568405</v>
      </c>
      <c r="R9" s="2">
        <f t="shared" si="19"/>
        <v>60.46116982034968</v>
      </c>
      <c r="S9" s="2">
        <f t="shared" si="20"/>
        <v>3.7476710532111075</v>
      </c>
      <c r="T9" s="2">
        <f t="shared" si="21"/>
        <v>0.28698039293432953</v>
      </c>
      <c r="U9">
        <f t="shared" si="22"/>
        <v>75.90085716163611</v>
      </c>
      <c r="V9">
        <f t="shared" si="0"/>
        <v>2.6956017830947556</v>
      </c>
      <c r="W9">
        <f t="shared" si="1"/>
        <v>7.5362877928913035</v>
      </c>
      <c r="X9">
        <f t="shared" si="2"/>
        <v>4.556527760610294</v>
      </c>
      <c r="Y9">
        <f t="shared" si="3"/>
        <v>0.2824352761008696</v>
      </c>
      <c r="Z9">
        <f t="shared" si="4"/>
        <v>0.021627668320701367</v>
      </c>
      <c r="AA9">
        <f t="shared" si="5"/>
        <v>0.24239943720457913</v>
      </c>
      <c r="AB9">
        <f t="shared" si="6"/>
        <v>239.87022687345615</v>
      </c>
      <c r="AC9">
        <f t="shared" si="7"/>
        <v>4.860590705031865</v>
      </c>
      <c r="AD9">
        <f t="shared" si="23"/>
        <v>1.070241360529971</v>
      </c>
      <c r="AE9">
        <f t="shared" si="24"/>
        <v>11.208226756750644</v>
      </c>
      <c r="AF9">
        <f t="shared" si="25"/>
        <v>8.606529153421278</v>
      </c>
      <c r="AG9">
        <f t="shared" si="26"/>
        <v>87.10908391838649</v>
      </c>
      <c r="AH9">
        <f t="shared" si="27"/>
        <v>3.765843143624727</v>
      </c>
      <c r="AI9" s="8">
        <v>57908998.2258</v>
      </c>
      <c r="AJ9">
        <v>44.6130154368748</v>
      </c>
      <c r="AK9" s="3">
        <f t="shared" si="8"/>
        <v>13.106919388534727</v>
      </c>
      <c r="AL9" s="3">
        <f t="shared" si="9"/>
        <v>0.46548927898631715</v>
      </c>
      <c r="AM9" s="3">
        <f t="shared" si="10"/>
        <v>1.3014018587414773</v>
      </c>
      <c r="AN9" s="3">
        <f t="shared" si="11"/>
        <v>0.786842787858872</v>
      </c>
      <c r="AO9" s="3">
        <f t="shared" si="12"/>
        <v>0.04877226074600565</v>
      </c>
      <c r="AP9" s="3">
        <f t="shared" si="13"/>
        <v>0.003734768167870959</v>
      </c>
      <c r="AQ9" s="3">
        <f t="shared" si="14"/>
        <v>0.04185868252450337</v>
      </c>
      <c r="AR9" s="3">
        <f t="shared" si="15"/>
        <v>41.42192650927047</v>
      </c>
      <c r="AS9" s="3">
        <f t="shared" si="28"/>
        <v>0.8393498167727486</v>
      </c>
      <c r="AT9" s="3">
        <f t="shared" si="29"/>
        <v>0.18481434549374573</v>
      </c>
      <c r="AU9" s="3">
        <f t="shared" si="30"/>
        <v>1.9354896648440176</v>
      </c>
      <c r="AV9" s="3">
        <f t="shared" si="31"/>
        <v>1.4862162042352236</v>
      </c>
      <c r="AW9" s="3">
        <f t="shared" si="32"/>
        <v>15.0424090533787</v>
      </c>
      <c r="AX9" s="3">
        <f t="shared" si="33"/>
        <v>0.6503036244800628</v>
      </c>
      <c r="AY9" s="2">
        <f t="shared" si="34"/>
        <v>0.4375565430029043</v>
      </c>
    </row>
    <row r="10" spans="1:51" ht="12.75">
      <c r="A10" s="1" t="s">
        <v>174</v>
      </c>
      <c r="B10">
        <v>815.016776440392</v>
      </c>
      <c r="C10">
        <v>37.3048430909962</v>
      </c>
      <c r="D10">
        <v>80.1462925894995</v>
      </c>
      <c r="E10">
        <v>34.2672728619619</v>
      </c>
      <c r="F10">
        <v>6.17558102055087</v>
      </c>
      <c r="G10">
        <v>0.253055472056014</v>
      </c>
      <c r="H10">
        <v>1.87072196963473</v>
      </c>
      <c r="I10">
        <v>3733.28962096905</v>
      </c>
      <c r="J10">
        <v>40.695909354568784</v>
      </c>
      <c r="K10">
        <v>47.4325194793645</v>
      </c>
      <c r="L10">
        <v>493.868536113842</v>
      </c>
      <c r="M10">
        <v>127.578812068864</v>
      </c>
      <c r="N10">
        <v>1308.88531255423</v>
      </c>
      <c r="O10">
        <f t="shared" si="16"/>
        <v>84.7373625703607</v>
      </c>
      <c r="P10" s="3">
        <f t="shared" si="17"/>
        <v>25.47756925017283</v>
      </c>
      <c r="Q10" s="2">
        <f t="shared" si="18"/>
        <v>46.54593729253018</v>
      </c>
      <c r="R10" s="2">
        <f t="shared" si="19"/>
        <v>42.75590517639426</v>
      </c>
      <c r="S10" s="2">
        <f t="shared" si="20"/>
        <v>7.705385765229987</v>
      </c>
      <c r="T10" s="2">
        <f t="shared" si="21"/>
        <v>0.31574195621516304</v>
      </c>
      <c r="U10">
        <f t="shared" si="22"/>
        <v>489.1508611878864</v>
      </c>
      <c r="V10">
        <f t="shared" si="0"/>
        <v>22.389350320047487</v>
      </c>
      <c r="W10">
        <f t="shared" si="1"/>
        <v>48.10162094134173</v>
      </c>
      <c r="X10">
        <f t="shared" si="2"/>
        <v>20.56628343798867</v>
      </c>
      <c r="Y10">
        <f t="shared" si="3"/>
        <v>3.7064154528590323</v>
      </c>
      <c r="Z10">
        <f t="shared" si="4"/>
        <v>0.15187699893139492</v>
      </c>
      <c r="AA10">
        <f t="shared" si="5"/>
        <v>1.1227563516992862</v>
      </c>
      <c r="AB10">
        <f t="shared" si="6"/>
        <v>2240.6187037480786</v>
      </c>
      <c r="AC10">
        <f t="shared" si="7"/>
        <v>24.4245758897791</v>
      </c>
      <c r="AD10">
        <f t="shared" si="23"/>
        <v>28.46770572377198</v>
      </c>
      <c r="AE10">
        <f t="shared" si="24"/>
        <v>296.406438170239</v>
      </c>
      <c r="AF10">
        <f t="shared" si="25"/>
        <v>76.5693266651137</v>
      </c>
      <c r="AG10">
        <f t="shared" si="26"/>
        <v>785.557299358123</v>
      </c>
      <c r="AH10">
        <f t="shared" si="27"/>
        <v>50.85705604381948</v>
      </c>
      <c r="AI10" s="8">
        <v>298904186.361</v>
      </c>
      <c r="AJ10">
        <v>671.110197717957</v>
      </c>
      <c r="AK10" s="3">
        <f t="shared" si="8"/>
        <v>16.36480462662764</v>
      </c>
      <c r="AL10" s="3">
        <f t="shared" si="9"/>
        <v>0.74904773307547</v>
      </c>
      <c r="AM10" s="3">
        <f t="shared" si="10"/>
        <v>1.609265548500791</v>
      </c>
      <c r="AN10" s="3">
        <f t="shared" si="11"/>
        <v>0.688056051953379</v>
      </c>
      <c r="AO10" s="3">
        <f t="shared" si="12"/>
        <v>0.12400011849893024</v>
      </c>
      <c r="AP10" s="3">
        <f t="shared" si="13"/>
        <v>0.005081126523533071</v>
      </c>
      <c r="AQ10" s="3">
        <f t="shared" si="14"/>
        <v>0.03756241641738945</v>
      </c>
      <c r="AR10" s="3">
        <f t="shared" si="15"/>
        <v>74.96110144947862</v>
      </c>
      <c r="AS10" s="3">
        <f t="shared" si="28"/>
        <v>0.8171372969758424</v>
      </c>
      <c r="AT10" s="3">
        <f t="shared" si="29"/>
        <v>0.9524023758365919</v>
      </c>
      <c r="AU10" s="3">
        <f t="shared" si="30"/>
        <v>9.916436493540967</v>
      </c>
      <c r="AV10" s="3">
        <f t="shared" si="31"/>
        <v>2.561667924337383</v>
      </c>
      <c r="AW10" s="3">
        <f t="shared" si="32"/>
        <v>26.281241120168527</v>
      </c>
      <c r="AX10" s="3">
        <f t="shared" si="33"/>
        <v>1.7014501089120624</v>
      </c>
      <c r="AY10" s="2">
        <f t="shared" si="34"/>
        <v>0.6641962030859914</v>
      </c>
    </row>
    <row r="11" spans="1:51" ht="12.75">
      <c r="A11" s="1" t="s">
        <v>175</v>
      </c>
      <c r="B11">
        <v>616.524083902072</v>
      </c>
      <c r="C11">
        <v>38.7699300649821</v>
      </c>
      <c r="D11">
        <v>87.6294207543631</v>
      </c>
      <c r="E11">
        <v>42.696945043778</v>
      </c>
      <c r="F11">
        <v>5.85559732235953</v>
      </c>
      <c r="G11">
        <v>0.306948323243385</v>
      </c>
      <c r="H11">
        <v>1.36561496810732</v>
      </c>
      <c r="I11">
        <v>3422.00783084497</v>
      </c>
      <c r="J11">
        <v>48.85949068938091</v>
      </c>
      <c r="K11">
        <v>30.9459821182637</v>
      </c>
      <c r="L11">
        <v>183.582032883388</v>
      </c>
      <c r="M11">
        <v>118.575402872626</v>
      </c>
      <c r="N11">
        <v>800.10611678546</v>
      </c>
      <c r="O11">
        <f t="shared" si="16"/>
        <v>69.71591218324579</v>
      </c>
      <c r="P11" s="3">
        <f t="shared" si="17"/>
        <v>18.544353135524386</v>
      </c>
      <c r="Q11" s="2">
        <f t="shared" si="18"/>
        <v>44.2430518554486</v>
      </c>
      <c r="R11" s="2">
        <f t="shared" si="19"/>
        <v>48.724440577398326</v>
      </c>
      <c r="S11" s="2">
        <f t="shared" si="20"/>
        <v>6.6822275805902525</v>
      </c>
      <c r="T11" s="2">
        <f t="shared" si="21"/>
        <v>0.35027998656273435</v>
      </c>
      <c r="U11">
        <f t="shared" si="22"/>
        <v>247.7546107994888</v>
      </c>
      <c r="V11">
        <f t="shared" si="0"/>
        <v>15.579973572449694</v>
      </c>
      <c r="W11">
        <f t="shared" si="1"/>
        <v>35.21450921458303</v>
      </c>
      <c r="X11">
        <f t="shared" si="2"/>
        <v>17.158072616881967</v>
      </c>
      <c r="Y11">
        <f t="shared" si="3"/>
        <v>2.353113647106363</v>
      </c>
      <c r="Z11">
        <f t="shared" si="4"/>
        <v>0.12334937814497429</v>
      </c>
      <c r="AA11">
        <f t="shared" si="5"/>
        <v>0.5487821380537125</v>
      </c>
      <c r="AB11">
        <f t="shared" si="6"/>
        <v>1375.158311606956</v>
      </c>
      <c r="AC11">
        <f t="shared" si="7"/>
        <v>19.6345356421333</v>
      </c>
      <c r="AD11">
        <f t="shared" si="23"/>
        <v>12.435864154718377</v>
      </c>
      <c r="AE11">
        <f t="shared" si="24"/>
        <v>73.7737523876314</v>
      </c>
      <c r="AF11">
        <f t="shared" si="25"/>
        <v>47.65037336930108</v>
      </c>
      <c r="AG11">
        <f t="shared" si="26"/>
        <v>321.5283631871202</v>
      </c>
      <c r="AH11">
        <f t="shared" si="27"/>
        <v>28.01583772716807</v>
      </c>
      <c r="AI11" s="8">
        <v>199903166.927</v>
      </c>
      <c r="AJ11">
        <v>449.354673696763</v>
      </c>
      <c r="AK11" s="3">
        <f t="shared" si="8"/>
        <v>12.39373115534298</v>
      </c>
      <c r="AL11" s="3">
        <f t="shared" si="9"/>
        <v>0.7793760255003434</v>
      </c>
      <c r="AM11" s="3">
        <f t="shared" si="10"/>
        <v>1.7615783559568399</v>
      </c>
      <c r="AN11" s="3">
        <f t="shared" si="11"/>
        <v>0.8583191992725007</v>
      </c>
      <c r="AO11" s="3">
        <f t="shared" si="12"/>
        <v>0.11771267475545627</v>
      </c>
      <c r="AP11" s="3">
        <f t="shared" si="13"/>
        <v>0.0061704564285376545</v>
      </c>
      <c r="AQ11" s="3">
        <f t="shared" si="14"/>
        <v>0.027452398403178622</v>
      </c>
      <c r="AR11" s="3">
        <f t="shared" si="15"/>
        <v>68.7912219074114</v>
      </c>
      <c r="AS11" s="3">
        <f t="shared" si="28"/>
        <v>0.9822023304564945</v>
      </c>
      <c r="AT11" s="3">
        <f t="shared" si="29"/>
        <v>0.6220944043002414</v>
      </c>
      <c r="AU11" s="3">
        <f t="shared" si="30"/>
        <v>3.6904744192758026</v>
      </c>
      <c r="AV11" s="3">
        <f t="shared" si="31"/>
        <v>2.3836727602570646</v>
      </c>
      <c r="AW11" s="3">
        <f t="shared" si="32"/>
        <v>16.08420557461878</v>
      </c>
      <c r="AX11" s="3">
        <f t="shared" si="33"/>
        <v>1.4014704298005847</v>
      </c>
      <c r="AY11" s="2">
        <f t="shared" si="34"/>
        <v>0.5879458175498237</v>
      </c>
    </row>
    <row r="12" spans="1:51" ht="12.75">
      <c r="A12" s="1" t="s">
        <v>176</v>
      </c>
      <c r="B12">
        <v>947.843082613438</v>
      </c>
      <c r="C12">
        <v>41.0408277933439</v>
      </c>
      <c r="D12">
        <v>129.491607474513</v>
      </c>
      <c r="E12">
        <v>73.7480982607182</v>
      </c>
      <c r="F12">
        <v>14.123707085203</v>
      </c>
      <c r="G12">
        <v>0.461307869479745</v>
      </c>
      <c r="H12">
        <v>9.66077460105625</v>
      </c>
      <c r="I12">
        <v>6433.87961743622</v>
      </c>
      <c r="J12">
        <v>88.33311321540093</v>
      </c>
      <c r="K12">
        <v>23.1547694558561</v>
      </c>
      <c r="L12">
        <v>255.73006181279</v>
      </c>
      <c r="M12">
        <v>152.646376930369</v>
      </c>
      <c r="N12">
        <v>1203.57314442622</v>
      </c>
      <c r="O12">
        <f t="shared" si="16"/>
        <v>64.1955972492</v>
      </c>
      <c r="P12" s="3">
        <f t="shared" si="17"/>
        <v>26.932520119371578</v>
      </c>
      <c r="Q12" s="2">
        <f t="shared" si="18"/>
        <v>31.69381289935852</v>
      </c>
      <c r="R12" s="2">
        <f t="shared" si="19"/>
        <v>56.952029323779584</v>
      </c>
      <c r="S12" s="2">
        <f t="shared" si="20"/>
        <v>10.907044371955054</v>
      </c>
      <c r="T12" s="2">
        <f t="shared" si="21"/>
        <v>0.35624538028114394</v>
      </c>
      <c r="U12">
        <f t="shared" si="22"/>
        <v>9.89335620322996</v>
      </c>
      <c r="V12">
        <f t="shared" si="0"/>
        <v>0.42837420632478745</v>
      </c>
      <c r="W12">
        <f t="shared" si="1"/>
        <v>1.3516019914835105</v>
      </c>
      <c r="X12">
        <f t="shared" si="2"/>
        <v>0.7697647625304777</v>
      </c>
      <c r="Y12">
        <f t="shared" si="3"/>
        <v>0.14741982894333466</v>
      </c>
      <c r="Z12">
        <f t="shared" si="4"/>
        <v>0.004815019654447946</v>
      </c>
      <c r="AA12">
        <f t="shared" si="5"/>
        <v>0.10083682212865397</v>
      </c>
      <c r="AB12">
        <f t="shared" si="6"/>
        <v>67.15527495172648</v>
      </c>
      <c r="AC12">
        <f t="shared" si="7"/>
        <v>0.9219996111282601</v>
      </c>
      <c r="AD12">
        <f t="shared" si="23"/>
        <v>0.24168386754358936</v>
      </c>
      <c r="AE12">
        <f t="shared" si="24"/>
        <v>2.6692483595618297</v>
      </c>
      <c r="AF12">
        <f t="shared" si="25"/>
        <v>1.5932858590270986</v>
      </c>
      <c r="AG12">
        <f t="shared" si="26"/>
        <v>12.562604562791709</v>
      </c>
      <c r="AH12">
        <f t="shared" si="27"/>
        <v>0.6700580738683769</v>
      </c>
      <c r="AI12" s="8">
        <v>14574813.456286224</v>
      </c>
      <c r="AJ12">
        <v>11.6714486847215</v>
      </c>
      <c r="AK12" s="3">
        <f t="shared" si="8"/>
        <v>6.787981357636438</v>
      </c>
      <c r="AL12" s="3">
        <f t="shared" si="9"/>
        <v>0.2939140234004343</v>
      </c>
      <c r="AM12" s="3">
        <f t="shared" si="10"/>
        <v>0.9273545733791567</v>
      </c>
      <c r="AN12" s="3">
        <f t="shared" si="11"/>
        <v>0.5281472485663085</v>
      </c>
      <c r="AO12" s="3">
        <f t="shared" si="12"/>
        <v>0.10114697480381912</v>
      </c>
      <c r="AP12" s="3">
        <f t="shared" si="13"/>
        <v>0.0033036578264891564</v>
      </c>
      <c r="AQ12" s="3">
        <f t="shared" si="14"/>
        <v>0.0691856691209741</v>
      </c>
      <c r="AR12" s="3">
        <f t="shared" si="15"/>
        <v>46.07625006875263</v>
      </c>
      <c r="AS12" s="3">
        <f t="shared" si="28"/>
        <v>0.6325978811966165</v>
      </c>
      <c r="AT12" s="3">
        <f t="shared" si="29"/>
        <v>0.16582295771295058</v>
      </c>
      <c r="AU12" s="3">
        <f t="shared" si="30"/>
        <v>1.8314116798596576</v>
      </c>
      <c r="AV12" s="3">
        <f t="shared" si="31"/>
        <v>1.0931775310921066</v>
      </c>
      <c r="AW12" s="3">
        <f t="shared" si="32"/>
        <v>8.61939303749604</v>
      </c>
      <c r="AX12" s="3">
        <f t="shared" si="33"/>
        <v>0.459736981113385</v>
      </c>
      <c r="AY12" s="2">
        <f t="shared" si="34"/>
        <v>0.420551070651899</v>
      </c>
    </row>
    <row r="13" spans="1:51" ht="12.75">
      <c r="A13" s="1" t="s">
        <v>177</v>
      </c>
      <c r="B13">
        <v>1393.96411928789</v>
      </c>
      <c r="C13">
        <v>8.20563039644881</v>
      </c>
      <c r="D13">
        <v>62.9638910184129</v>
      </c>
      <c r="E13">
        <v>43.7011428311085</v>
      </c>
      <c r="F13">
        <v>10.8518329138934</v>
      </c>
      <c r="G13">
        <v>0.198685138504907</v>
      </c>
      <c r="H13">
        <v>27.6587479979041</v>
      </c>
      <c r="I13">
        <v>8273.82731935161</v>
      </c>
      <c r="J13">
        <v>54.75166088350681</v>
      </c>
      <c r="K13">
        <v>31.4575573879523</v>
      </c>
      <c r="L13">
        <v>434.370600019744</v>
      </c>
      <c r="M13">
        <v>94.4214484063653</v>
      </c>
      <c r="N13">
        <v>1828.33471930764</v>
      </c>
      <c r="O13">
        <f t="shared" si="16"/>
        <v>39.66318778440111</v>
      </c>
      <c r="P13" s="3">
        <f t="shared" si="17"/>
        <v>198.10539543141857</v>
      </c>
      <c r="Q13" s="2">
        <f t="shared" si="18"/>
        <v>13.032279714176479</v>
      </c>
      <c r="R13" s="2">
        <f t="shared" si="19"/>
        <v>69.40667440379235</v>
      </c>
      <c r="S13" s="2">
        <f t="shared" si="20"/>
        <v>17.23501000076367</v>
      </c>
      <c r="T13" s="2">
        <f t="shared" si="21"/>
        <v>0.31555409821607805</v>
      </c>
      <c r="U13">
        <f t="shared" si="22"/>
        <v>1.8253693576735162</v>
      </c>
      <c r="V13">
        <f t="shared" si="0"/>
        <v>0.010745116089303466</v>
      </c>
      <c r="W13">
        <f t="shared" si="1"/>
        <v>0.08245001124104907</v>
      </c>
      <c r="X13">
        <f t="shared" si="2"/>
        <v>0.05722581084796513</v>
      </c>
      <c r="Y13">
        <f t="shared" si="3"/>
        <v>0.014210267683025577</v>
      </c>
      <c r="Z13">
        <f t="shared" si="4"/>
        <v>0.00026017438945074743</v>
      </c>
      <c r="AA13">
        <f t="shared" si="5"/>
        <v>0.03621860158981673</v>
      </c>
      <c r="AB13">
        <f t="shared" si="6"/>
        <v>10.834418655726756</v>
      </c>
      <c r="AC13">
        <f t="shared" si="7"/>
        <v>0.07169625292044146</v>
      </c>
      <c r="AD13">
        <f t="shared" si="23"/>
        <v>0.041193069842112046</v>
      </c>
      <c r="AE13">
        <f t="shared" si="24"/>
        <v>0.5687999943322415</v>
      </c>
      <c r="AF13">
        <f t="shared" si="25"/>
        <v>0.12364308108316123</v>
      </c>
      <c r="AG13">
        <f t="shared" si="26"/>
        <v>2.394169352005765</v>
      </c>
      <c r="AH13">
        <f t="shared" si="27"/>
        <v>0.05193818593141551</v>
      </c>
      <c r="AI13" s="8">
        <v>1828500</v>
      </c>
      <c r="AJ13">
        <v>1.46425503036562</v>
      </c>
      <c r="AK13" s="3">
        <f t="shared" si="8"/>
        <v>9.982878630973564</v>
      </c>
      <c r="AL13" s="3">
        <f t="shared" si="9"/>
        <v>0.0587646491074841</v>
      </c>
      <c r="AM13" s="3">
        <f t="shared" si="10"/>
        <v>0.45091611288514666</v>
      </c>
      <c r="AN13" s="3">
        <f t="shared" si="11"/>
        <v>0.31296587830443057</v>
      </c>
      <c r="AO13" s="3">
        <f t="shared" si="12"/>
        <v>0.07771543715080984</v>
      </c>
      <c r="AP13" s="3">
        <f t="shared" si="13"/>
        <v>0.0014228842737257176</v>
      </c>
      <c r="AQ13" s="3">
        <f t="shared" si="14"/>
        <v>0.19807821487457883</v>
      </c>
      <c r="AR13" s="3">
        <f t="shared" si="15"/>
        <v>59.25304159544302</v>
      </c>
      <c r="AS13" s="3">
        <f t="shared" si="28"/>
        <v>0.3921041997289662</v>
      </c>
      <c r="AT13" s="3">
        <f t="shared" si="29"/>
        <v>0.22528340083189524</v>
      </c>
      <c r="AU13" s="3">
        <f t="shared" si="30"/>
        <v>3.1107464825389197</v>
      </c>
      <c r="AV13" s="3">
        <f t="shared" si="31"/>
        <v>0.6761995137170426</v>
      </c>
      <c r="AW13" s="3">
        <f t="shared" si="32"/>
        <v>13.093625113512525</v>
      </c>
      <c r="AX13" s="3">
        <f t="shared" si="33"/>
        <v>0.2840480499393793</v>
      </c>
      <c r="AY13" s="2">
        <f t="shared" si="34"/>
        <v>0.42006544544520324</v>
      </c>
    </row>
    <row r="14" spans="1:51" ht="12.75">
      <c r="A14" s="1" t="s">
        <v>178</v>
      </c>
      <c r="B14">
        <v>164.383179258899</v>
      </c>
      <c r="C14">
        <v>8.03031749188233</v>
      </c>
      <c r="D14">
        <v>54.1510745390749</v>
      </c>
      <c r="E14">
        <v>36.0234050167418</v>
      </c>
      <c r="F14">
        <v>9.9132943353687</v>
      </c>
      <c r="G14">
        <v>0.182894994855356</v>
      </c>
      <c r="H14">
        <v>28.7864038955342</v>
      </c>
      <c r="I14">
        <v>8417.43174443562</v>
      </c>
      <c r="J14">
        <v>46.11959434696585</v>
      </c>
      <c r="K14">
        <v>27.9022185738548</v>
      </c>
      <c r="L14">
        <v>403.651787172228</v>
      </c>
      <c r="M14">
        <v>82.0532931129298</v>
      </c>
      <c r="N14">
        <v>568.034966431128</v>
      </c>
      <c r="O14">
        <f t="shared" si="16"/>
        <v>35.93253606573713</v>
      </c>
      <c r="P14" s="3">
        <f t="shared" si="17"/>
        <v>23.871588498519674</v>
      </c>
      <c r="Q14" s="2">
        <f t="shared" si="18"/>
        <v>14.829470255641427</v>
      </c>
      <c r="R14" s="2">
        <f t="shared" si="19"/>
        <v>66.52389693716539</v>
      </c>
      <c r="S14" s="2">
        <f t="shared" si="20"/>
        <v>18.306736144663873</v>
      </c>
      <c r="T14" s="2">
        <f t="shared" si="21"/>
        <v>0.337749520969119</v>
      </c>
      <c r="U14">
        <f t="shared" si="22"/>
        <v>0.21525662976851456</v>
      </c>
      <c r="V14">
        <f t="shared" si="0"/>
        <v>0.010515547193251916</v>
      </c>
      <c r="W14">
        <f t="shared" si="1"/>
        <v>0.07090979658731632</v>
      </c>
      <c r="X14">
        <f t="shared" si="2"/>
        <v>0.04717196000009994</v>
      </c>
      <c r="Y14">
        <f t="shared" si="3"/>
        <v>0.012981269361957867</v>
      </c>
      <c r="Z14">
        <f t="shared" si="4"/>
        <v>0.0002394974982938375</v>
      </c>
      <c r="AA14">
        <f t="shared" si="5"/>
        <v>0.037695245423795286</v>
      </c>
      <c r="AB14">
        <f t="shared" si="6"/>
        <v>11.022465904251769</v>
      </c>
      <c r="AC14">
        <f t="shared" si="7"/>
        <v>0.06039272686035163</v>
      </c>
      <c r="AD14">
        <f t="shared" si="23"/>
        <v>0.03653742165317859</v>
      </c>
      <c r="AE14">
        <f t="shared" si="24"/>
        <v>0.5285742963389469</v>
      </c>
      <c r="AF14">
        <f t="shared" si="25"/>
        <v>0.10744721824049505</v>
      </c>
      <c r="AG14">
        <f t="shared" si="26"/>
        <v>0.7438309261074632</v>
      </c>
      <c r="AH14">
        <f t="shared" si="27"/>
        <v>0.04705296884643051</v>
      </c>
      <c r="AI14" s="8">
        <v>1828500</v>
      </c>
      <c r="AJ14">
        <v>1.46425503036562</v>
      </c>
      <c r="AK14" s="3">
        <f t="shared" si="8"/>
        <v>1.1772306796199867</v>
      </c>
      <c r="AL14" s="3">
        <f t="shared" si="9"/>
        <v>0.05750914516407939</v>
      </c>
      <c r="AM14" s="3">
        <f t="shared" si="10"/>
        <v>0.387803098645427</v>
      </c>
      <c r="AN14" s="3">
        <f t="shared" si="11"/>
        <v>0.2579817336620177</v>
      </c>
      <c r="AO14" s="3">
        <f t="shared" si="12"/>
        <v>0.07099409002984888</v>
      </c>
      <c r="AP14" s="3">
        <f t="shared" si="13"/>
        <v>0.0013098031079783294</v>
      </c>
      <c r="AQ14" s="3">
        <f t="shared" si="14"/>
        <v>0.20615392629912654</v>
      </c>
      <c r="AR14" s="3">
        <f t="shared" si="15"/>
        <v>60.28146515860962</v>
      </c>
      <c r="AS14" s="3">
        <f t="shared" si="28"/>
        <v>0.33028562679984486</v>
      </c>
      <c r="AT14" s="3">
        <f t="shared" si="29"/>
        <v>0.19982183020606284</v>
      </c>
      <c r="AU14" s="3">
        <f t="shared" si="30"/>
        <v>2.89075360316624</v>
      </c>
      <c r="AV14" s="3">
        <f t="shared" si="31"/>
        <v>0.5876249288514905</v>
      </c>
      <c r="AW14" s="3">
        <f t="shared" si="32"/>
        <v>4.067984282786235</v>
      </c>
      <c r="AX14" s="3">
        <f t="shared" si="33"/>
        <v>0.25733097537014227</v>
      </c>
      <c r="AY14" s="2">
        <f t="shared" si="34"/>
        <v>0.43791705003580117</v>
      </c>
    </row>
    <row r="15" spans="1:51" ht="12.75">
      <c r="A15" s="1" t="s">
        <v>179</v>
      </c>
      <c r="B15">
        <v>751.046278359997</v>
      </c>
      <c r="C15">
        <v>23.7369354208417</v>
      </c>
      <c r="D15">
        <v>152.244446664856</v>
      </c>
      <c r="E15">
        <v>112.134172902788</v>
      </c>
      <c r="F15">
        <v>15.8176437737589</v>
      </c>
      <c r="G15">
        <v>0.639166360139456</v>
      </c>
      <c r="H15">
        <v>16.9150056082236</v>
      </c>
      <c r="I15">
        <v>7827.53560697935</v>
      </c>
      <c r="J15">
        <v>128.59098303668637</v>
      </c>
      <c r="K15">
        <v>22.2613087504508</v>
      </c>
      <c r="L15">
        <v>238.462128784631</v>
      </c>
      <c r="M15">
        <v>174.505755415307</v>
      </c>
      <c r="N15">
        <v>989.508407144629</v>
      </c>
      <c r="O15">
        <f t="shared" si="16"/>
        <v>45.9982441712925</v>
      </c>
      <c r="P15" s="3">
        <f t="shared" si="17"/>
        <v>36.897650266034525</v>
      </c>
      <c r="Q15" s="2">
        <f t="shared" si="18"/>
        <v>15.591330876649383</v>
      </c>
      <c r="R15" s="2">
        <f t="shared" si="19"/>
        <v>73.65403163087785</v>
      </c>
      <c r="S15" s="2">
        <f t="shared" si="20"/>
        <v>10.389635957349</v>
      </c>
      <c r="T15" s="2">
        <f t="shared" si="21"/>
        <v>0.4198290145495341</v>
      </c>
      <c r="U15">
        <f t="shared" si="22"/>
        <v>4.66061020301951</v>
      </c>
      <c r="V15">
        <f t="shared" si="0"/>
        <v>0.1472993164314206</v>
      </c>
      <c r="W15">
        <f t="shared" si="1"/>
        <v>0.9447513980479105</v>
      </c>
      <c r="X15">
        <f t="shared" si="2"/>
        <v>0.6958474935513688</v>
      </c>
      <c r="Y15">
        <f t="shared" si="3"/>
        <v>0.0981562309591431</v>
      </c>
      <c r="Z15">
        <f t="shared" si="4"/>
        <v>0.00396634048436749</v>
      </c>
      <c r="AA15">
        <f t="shared" si="5"/>
        <v>0.10496589889768644</v>
      </c>
      <c r="AB15">
        <f t="shared" si="6"/>
        <v>48.57369427892974</v>
      </c>
      <c r="AC15">
        <f t="shared" si="7"/>
        <v>0.7979700649948795</v>
      </c>
      <c r="AD15">
        <f t="shared" si="23"/>
        <v>0.13814232981950503</v>
      </c>
      <c r="AE15">
        <f t="shared" si="24"/>
        <v>1.4797743660673455</v>
      </c>
      <c r="AF15">
        <f t="shared" si="25"/>
        <v>1.0828937278674169</v>
      </c>
      <c r="AG15">
        <f t="shared" si="26"/>
        <v>6.14038456908686</v>
      </c>
      <c r="AH15">
        <f t="shared" si="27"/>
        <v>0.2854416462509256</v>
      </c>
      <c r="AI15" s="8">
        <v>8665066.24375</v>
      </c>
      <c r="AJ15">
        <v>6.93894822852739</v>
      </c>
      <c r="AK15" s="3">
        <f t="shared" si="8"/>
        <v>5.378620395869619</v>
      </c>
      <c r="AL15" s="3">
        <f t="shared" si="9"/>
        <v>0.1699921411883789</v>
      </c>
      <c r="AM15" s="3">
        <f t="shared" si="10"/>
        <v>1.0902991061716898</v>
      </c>
      <c r="AN15" s="3">
        <f t="shared" si="11"/>
        <v>0.8030492485308748</v>
      </c>
      <c r="AO15" s="3">
        <f t="shared" si="12"/>
        <v>0.11327810797746864</v>
      </c>
      <c r="AP15" s="3">
        <f t="shared" si="13"/>
        <v>0.004577391993082985</v>
      </c>
      <c r="AQ15" s="3">
        <f t="shared" si="14"/>
        <v>0.121136868368891</v>
      </c>
      <c r="AR15" s="3">
        <f t="shared" si="15"/>
        <v>56.05692202753247</v>
      </c>
      <c r="AS15" s="3">
        <f t="shared" si="28"/>
        <v>0.9209047485014267</v>
      </c>
      <c r="AT15" s="3">
        <f t="shared" si="29"/>
        <v>0.15942443592874467</v>
      </c>
      <c r="AU15" s="3">
        <f t="shared" si="30"/>
        <v>1.7077473206101426</v>
      </c>
      <c r="AV15" s="3">
        <f t="shared" si="31"/>
        <v>1.2497235421004358</v>
      </c>
      <c r="AW15" s="3">
        <f t="shared" si="32"/>
        <v>7.086367716479767</v>
      </c>
      <c r="AX15" s="3">
        <f t="shared" si="33"/>
        <v>0.3294165771171236</v>
      </c>
      <c r="AY15" s="2">
        <f t="shared" si="34"/>
        <v>0.2635915592687535</v>
      </c>
    </row>
    <row r="16" spans="1:51" ht="12.75">
      <c r="A16" s="1" t="s">
        <v>180</v>
      </c>
      <c r="B16">
        <v>622.978797364399</v>
      </c>
      <c r="C16">
        <v>62.4092122513591</v>
      </c>
      <c r="D16">
        <v>138.490632756361</v>
      </c>
      <c r="E16">
        <v>74.3198772989833</v>
      </c>
      <c r="F16">
        <v>1.50952217053182</v>
      </c>
      <c r="G16">
        <v>0.252021035487724</v>
      </c>
      <c r="H16">
        <v>14.1875300003022</v>
      </c>
      <c r="I16">
        <v>7696.09217134094</v>
      </c>
      <c r="J16">
        <v>76.08142050500285</v>
      </c>
      <c r="K16">
        <v>4.95156268581585</v>
      </c>
      <c r="L16">
        <v>54.1991927538787</v>
      </c>
      <c r="M16">
        <v>143.442195442177</v>
      </c>
      <c r="N16">
        <v>677.177990118278</v>
      </c>
      <c r="O16">
        <f t="shared" si="16"/>
        <v>67.36077493717495</v>
      </c>
      <c r="P16" s="3">
        <f t="shared" si="17"/>
        <v>11.640757044386278</v>
      </c>
      <c r="Q16" s="2">
        <f t="shared" si="18"/>
        <v>45.06385089679835</v>
      </c>
      <c r="R16" s="2">
        <f t="shared" si="19"/>
        <v>53.664190725253015</v>
      </c>
      <c r="S16" s="2">
        <f t="shared" si="20"/>
        <v>1.0899814236443266</v>
      </c>
      <c r="T16" s="2">
        <f t="shared" si="21"/>
        <v>0.18197695430498234</v>
      </c>
      <c r="U16">
        <f t="shared" si="22"/>
        <v>2.4746874377049286</v>
      </c>
      <c r="V16">
        <f t="shared" si="0"/>
        <v>0.24791099505937178</v>
      </c>
      <c r="W16">
        <f t="shared" si="1"/>
        <v>0.5501327341667223</v>
      </c>
      <c r="X16">
        <f t="shared" si="2"/>
        <v>0.2952242797052789</v>
      </c>
      <c r="Y16">
        <f t="shared" si="3"/>
        <v>0.005996344607803898</v>
      </c>
      <c r="Z16">
        <f t="shared" si="4"/>
        <v>0.0010011147942713258</v>
      </c>
      <c r="AA16">
        <f t="shared" si="5"/>
        <v>0.05635778041298721</v>
      </c>
      <c r="AB16">
        <f t="shared" si="6"/>
        <v>30.571542236125936</v>
      </c>
      <c r="AC16">
        <f t="shared" si="7"/>
        <v>0.3022217391073542</v>
      </c>
      <c r="AD16">
        <f t="shared" si="23"/>
        <v>0.01966932105464494</v>
      </c>
      <c r="AE16">
        <f t="shared" si="24"/>
        <v>0.21529795557924458</v>
      </c>
      <c r="AF16">
        <f t="shared" si="25"/>
        <v>0.5698020552213677</v>
      </c>
      <c r="AG16">
        <f t="shared" si="26"/>
        <v>2.689985393284174</v>
      </c>
      <c r="AH16">
        <f t="shared" si="27"/>
        <v>0.2675803161140167</v>
      </c>
      <c r="AI16" s="8">
        <v>5546804.91529</v>
      </c>
      <c r="AJ16">
        <v>4.4418578067652</v>
      </c>
      <c r="AK16" s="3">
        <f t="shared" si="8"/>
        <v>4.4614647089594754</v>
      </c>
      <c r="AL16" s="3">
        <f t="shared" si="9"/>
        <v>0.4469437790681889</v>
      </c>
      <c r="AM16" s="3">
        <f t="shared" si="10"/>
        <v>0.9918011225710469</v>
      </c>
      <c r="AN16" s="3">
        <f t="shared" si="11"/>
        <v>0.532242046031727</v>
      </c>
      <c r="AO16" s="3">
        <f t="shared" si="12"/>
        <v>0.010810447995520311</v>
      </c>
      <c r="AP16" s="3">
        <f t="shared" si="13"/>
        <v>0.0018048494756174155</v>
      </c>
      <c r="AQ16" s="3">
        <f t="shared" si="14"/>
        <v>0.10160404282046162</v>
      </c>
      <c r="AR16" s="3">
        <f t="shared" si="15"/>
        <v>55.11558943032989</v>
      </c>
      <c r="AS16" s="3">
        <f t="shared" si="28"/>
        <v>0.5448573435028649</v>
      </c>
      <c r="AT16" s="3">
        <f t="shared" si="29"/>
        <v>0.035460632481278793</v>
      </c>
      <c r="AU16" s="3">
        <f t="shared" si="30"/>
        <v>0.38814769739921223</v>
      </c>
      <c r="AV16" s="3">
        <f t="shared" si="31"/>
        <v>1.0272617550523266</v>
      </c>
      <c r="AW16" s="3">
        <f t="shared" si="32"/>
        <v>4.84961240635869</v>
      </c>
      <c r="AX16" s="3">
        <f t="shared" si="33"/>
        <v>0.4824044115494677</v>
      </c>
      <c r="AY16" s="2">
        <f t="shared" si="34"/>
        <v>0.4696022305677047</v>
      </c>
    </row>
    <row r="17" spans="1:51" ht="12.75">
      <c r="A17" s="1" t="s">
        <v>181</v>
      </c>
      <c r="B17">
        <v>709.304946925789</v>
      </c>
      <c r="C17">
        <v>27.7190298617029</v>
      </c>
      <c r="D17">
        <v>84.3739301700367</v>
      </c>
      <c r="E17">
        <v>51.3900220159134</v>
      </c>
      <c r="F17">
        <v>4.85100050792569</v>
      </c>
      <c r="G17">
        <v>0.204554208362679</v>
      </c>
      <c r="H17">
        <v>1.04939128773002</v>
      </c>
      <c r="I17">
        <v>4731.79001059827</v>
      </c>
      <c r="J17">
        <v>56.44557673220177</v>
      </c>
      <c r="K17">
        <v>17.2631823875988</v>
      </c>
      <c r="L17">
        <v>192.983970946808</v>
      </c>
      <c r="M17">
        <v>101.637112557635</v>
      </c>
      <c r="N17">
        <v>902.288917872597</v>
      </c>
      <c r="O17">
        <f t="shared" si="16"/>
        <v>44.982212249301696</v>
      </c>
      <c r="P17" s="3">
        <f t="shared" si="17"/>
        <v>29.84087973444985</v>
      </c>
      <c r="Q17" s="2">
        <f t="shared" si="18"/>
        <v>32.85260009322953</v>
      </c>
      <c r="R17" s="2">
        <f t="shared" si="19"/>
        <v>60.90746503374722</v>
      </c>
      <c r="S17" s="2">
        <f t="shared" si="20"/>
        <v>5.749406834729149</v>
      </c>
      <c r="T17" s="2">
        <f t="shared" si="21"/>
        <v>0.24243769129925083</v>
      </c>
      <c r="U17">
        <f t="shared" si="22"/>
        <v>28.675915051108746</v>
      </c>
      <c r="V17">
        <f t="shared" si="0"/>
        <v>1.1206302015210703</v>
      </c>
      <c r="W17">
        <f t="shared" si="1"/>
        <v>3.411085266739714</v>
      </c>
      <c r="X17">
        <f t="shared" si="2"/>
        <v>2.077605566110795</v>
      </c>
      <c r="Y17">
        <f t="shared" si="3"/>
        <v>0.19611716946437224</v>
      </c>
      <c r="Z17">
        <f t="shared" si="4"/>
        <v>0.008269756368932657</v>
      </c>
      <c r="AA17">
        <f t="shared" si="5"/>
        <v>0.04242499020025596</v>
      </c>
      <c r="AB17">
        <f t="shared" si="6"/>
        <v>191.29770484710485</v>
      </c>
      <c r="AC17">
        <f t="shared" si="7"/>
        <v>2.2819924919440995</v>
      </c>
      <c r="AD17">
        <f t="shared" si="23"/>
        <v>0.6979192148653847</v>
      </c>
      <c r="AE17">
        <f t="shared" si="24"/>
        <v>7.801992614151752</v>
      </c>
      <c r="AF17">
        <f t="shared" si="25"/>
        <v>4.109004481605078</v>
      </c>
      <c r="AG17">
        <f t="shared" si="26"/>
        <v>36.47790766526051</v>
      </c>
      <c r="AH17">
        <f t="shared" si="27"/>
        <v>1.818549416386455</v>
      </c>
      <c r="AI17" s="8">
        <v>21354036.0834</v>
      </c>
      <c r="AJ17">
        <v>45.2066016224737</v>
      </c>
      <c r="AK17" s="3">
        <f t="shared" si="8"/>
        <v>13.428803313393555</v>
      </c>
      <c r="AL17" s="3">
        <f t="shared" si="9"/>
        <v>0.5247861327686972</v>
      </c>
      <c r="AM17" s="3">
        <f t="shared" si="10"/>
        <v>1.5973960395203186</v>
      </c>
      <c r="AN17" s="3">
        <f t="shared" si="11"/>
        <v>0.9729334342213013</v>
      </c>
      <c r="AO17" s="3">
        <f t="shared" si="12"/>
        <v>0.09184079707387399</v>
      </c>
      <c r="AP17" s="3">
        <f t="shared" si="13"/>
        <v>0.0038726900791187296</v>
      </c>
      <c r="AQ17" s="3">
        <f t="shared" si="14"/>
        <v>0.019867433975741897</v>
      </c>
      <c r="AR17" s="3">
        <f t="shared" si="15"/>
        <v>89.58386325656443</v>
      </c>
      <c r="AS17" s="3">
        <f t="shared" si="28"/>
        <v>1.068646921374294</v>
      </c>
      <c r="AT17" s="3">
        <f t="shared" si="29"/>
        <v>0.32683246021482865</v>
      </c>
      <c r="AU17" s="3">
        <f t="shared" si="30"/>
        <v>3.65363839588938</v>
      </c>
      <c r="AV17" s="3">
        <f t="shared" si="31"/>
        <v>1.924228499735138</v>
      </c>
      <c r="AW17" s="3">
        <f t="shared" si="32"/>
        <v>17.08244170928294</v>
      </c>
      <c r="AX17" s="3">
        <f t="shared" si="33"/>
        <v>0.8516185929835258</v>
      </c>
      <c r="AY17" s="2">
        <f t="shared" si="34"/>
        <v>0.4425766446660298</v>
      </c>
    </row>
    <row r="18" spans="1:51" ht="12.75">
      <c r="A18" s="1" t="s">
        <v>182</v>
      </c>
      <c r="B18">
        <v>683.290058524228</v>
      </c>
      <c r="C18">
        <v>35.3804826338729</v>
      </c>
      <c r="D18">
        <v>92.9164459428561</v>
      </c>
      <c r="E18">
        <v>47.4478870555067</v>
      </c>
      <c r="F18">
        <v>9.71150578126659</v>
      </c>
      <c r="G18">
        <v>0.376570472209905</v>
      </c>
      <c r="H18">
        <v>2.08193928830964</v>
      </c>
      <c r="I18">
        <v>3562.87368896989</v>
      </c>
      <c r="J18">
        <v>57.53596330898319</v>
      </c>
      <c r="K18">
        <v>17.5035449576594</v>
      </c>
      <c r="L18">
        <v>156.449784472725</v>
      </c>
      <c r="M18">
        <v>110.419990900515</v>
      </c>
      <c r="N18">
        <v>839.739842996953</v>
      </c>
      <c r="O18">
        <f t="shared" si="16"/>
        <v>52.8840275915323</v>
      </c>
      <c r="P18" s="3">
        <f t="shared" si="17"/>
        <v>22.521536121779693</v>
      </c>
      <c r="Q18" s="2">
        <f t="shared" si="18"/>
        <v>38.07773992521411</v>
      </c>
      <c r="R18" s="2">
        <f t="shared" si="19"/>
        <v>51.06511185833269</v>
      </c>
      <c r="S18" s="2">
        <f t="shared" si="20"/>
        <v>10.45186961545989</v>
      </c>
      <c r="T18" s="2">
        <f t="shared" si="21"/>
        <v>0.40527860099330215</v>
      </c>
      <c r="U18">
        <f t="shared" si="22"/>
        <v>363.6755713272425</v>
      </c>
      <c r="V18">
        <f t="shared" si="0"/>
        <v>18.830973867082935</v>
      </c>
      <c r="W18">
        <f t="shared" si="1"/>
        <v>49.454021966817265</v>
      </c>
      <c r="X18">
        <f t="shared" si="2"/>
        <v>25.253751635799656</v>
      </c>
      <c r="Y18">
        <f t="shared" si="3"/>
        <v>5.168869895572632</v>
      </c>
      <c r="Z18">
        <f t="shared" si="4"/>
        <v>0.2004265683620373</v>
      </c>
      <c r="AA18">
        <f t="shared" si="5"/>
        <v>1.1080952381773805</v>
      </c>
      <c r="AB18">
        <f t="shared" si="6"/>
        <v>1896.3105173832712</v>
      </c>
      <c r="AC18">
        <f t="shared" si="7"/>
        <v>30.62304809973433</v>
      </c>
      <c r="AD18">
        <f t="shared" si="23"/>
        <v>9.316119316117849</v>
      </c>
      <c r="AE18">
        <f t="shared" si="24"/>
        <v>83.26912420623893</v>
      </c>
      <c r="AF18">
        <f t="shared" si="25"/>
        <v>58.770141282934844</v>
      </c>
      <c r="AG18">
        <f t="shared" si="26"/>
        <v>446.94469553348137</v>
      </c>
      <c r="AH18">
        <f t="shared" si="27"/>
        <v>28.147093183200784</v>
      </c>
      <c r="AI18" s="8">
        <v>218089203.053</v>
      </c>
      <c r="AJ18">
        <v>595.150210843215</v>
      </c>
      <c r="AK18" s="3">
        <f t="shared" si="8"/>
        <v>16.67554222016493</v>
      </c>
      <c r="AL18" s="3">
        <f t="shared" si="9"/>
        <v>0.8634528258836653</v>
      </c>
      <c r="AM18" s="3">
        <f t="shared" si="10"/>
        <v>2.267605240173167</v>
      </c>
      <c r="AN18" s="3">
        <f t="shared" si="11"/>
        <v>1.1579551523998413</v>
      </c>
      <c r="AO18" s="3">
        <f t="shared" si="12"/>
        <v>0.23700714309623544</v>
      </c>
      <c r="AP18" s="3">
        <f t="shared" si="13"/>
        <v>0.009190118793424618</v>
      </c>
      <c r="AQ18" s="3">
        <f t="shared" si="14"/>
        <v>0.0508092662390119</v>
      </c>
      <c r="AR18" s="3">
        <f t="shared" si="15"/>
        <v>86.95114158963797</v>
      </c>
      <c r="AS18" s="3">
        <f t="shared" si="28"/>
        <v>1.4041524142895014</v>
      </c>
      <c r="AT18" s="3">
        <f t="shared" si="29"/>
        <v>0.4271701297314497</v>
      </c>
      <c r="AU18" s="3">
        <f t="shared" si="30"/>
        <v>3.818122265594362</v>
      </c>
      <c r="AV18" s="3">
        <f t="shared" si="31"/>
        <v>2.6947753699046038</v>
      </c>
      <c r="AW18" s="3">
        <f t="shared" si="32"/>
        <v>20.493664485759293</v>
      </c>
      <c r="AX18" s="3">
        <f t="shared" si="33"/>
        <v>1.290622955615115</v>
      </c>
      <c r="AY18" s="2">
        <f t="shared" si="34"/>
        <v>0.47893526489400995</v>
      </c>
    </row>
    <row r="19" spans="1:51" ht="12.75">
      <c r="A19" s="1" t="s">
        <v>183</v>
      </c>
      <c r="B19">
        <v>1405.90162867395</v>
      </c>
      <c r="C19">
        <v>38.6839006233644</v>
      </c>
      <c r="D19">
        <v>286.229476263865</v>
      </c>
      <c r="E19">
        <v>243.013287576441</v>
      </c>
      <c r="F19">
        <v>4.51146077499458</v>
      </c>
      <c r="G19">
        <v>0.535314684348189</v>
      </c>
      <c r="H19">
        <v>10.8914390231804</v>
      </c>
      <c r="I19">
        <v>6683.49532351454</v>
      </c>
      <c r="J19">
        <v>248.06006303578377</v>
      </c>
      <c r="K19">
        <v>20.6496398272858</v>
      </c>
      <c r="L19">
        <v>229.379897872071</v>
      </c>
      <c r="M19">
        <v>306.879116091151</v>
      </c>
      <c r="N19">
        <v>1635.28152654602</v>
      </c>
      <c r="O19">
        <f t="shared" si="16"/>
        <v>59.333540450650204</v>
      </c>
      <c r="P19" s="3">
        <f t="shared" si="17"/>
        <v>42.38198905774776</v>
      </c>
      <c r="Q19" s="2">
        <f t="shared" si="18"/>
        <v>13.514995425454735</v>
      </c>
      <c r="R19" s="2">
        <f t="shared" si="19"/>
        <v>84.90155896886577</v>
      </c>
      <c r="S19" s="2">
        <f t="shared" si="20"/>
        <v>1.5761691751256326</v>
      </c>
      <c r="T19" s="2">
        <f t="shared" si="21"/>
        <v>0.18702290600381805</v>
      </c>
      <c r="U19">
        <f t="shared" si="22"/>
        <v>2.1922545711485935</v>
      </c>
      <c r="V19">
        <f t="shared" si="0"/>
        <v>0.06032069117909538</v>
      </c>
      <c r="W19">
        <f t="shared" si="1"/>
        <v>0.4463241701546176</v>
      </c>
      <c r="X19">
        <f t="shared" si="2"/>
        <v>0.37893617851612343</v>
      </c>
      <c r="Y19">
        <f t="shared" si="3"/>
        <v>0.007034823991112361</v>
      </c>
      <c r="Z19">
        <f t="shared" si="4"/>
        <v>0.0008347284332205914</v>
      </c>
      <c r="AA19">
        <f t="shared" si="5"/>
        <v>0.01698327002257909</v>
      </c>
      <c r="AB19">
        <f t="shared" si="6"/>
        <v>10.42172715031615</v>
      </c>
      <c r="AC19">
        <f t="shared" si="7"/>
        <v>0.3868057309404564</v>
      </c>
      <c r="AD19">
        <f t="shared" si="23"/>
        <v>0.03219945576607479</v>
      </c>
      <c r="AE19">
        <f t="shared" si="24"/>
        <v>0.35767732207120584</v>
      </c>
      <c r="AF19">
        <f t="shared" si="25"/>
        <v>0.4785236259206926</v>
      </c>
      <c r="AG19">
        <f t="shared" si="26"/>
        <v>2.549931893219798</v>
      </c>
      <c r="AH19">
        <f t="shared" si="27"/>
        <v>0.09252014694517016</v>
      </c>
      <c r="AI19" s="8">
        <v>2177368.09194</v>
      </c>
      <c r="AJ19">
        <v>1.74362711598619</v>
      </c>
      <c r="AK19" s="3">
        <f t="shared" si="8"/>
        <v>10.068369143755248</v>
      </c>
      <c r="AL19" s="3">
        <f t="shared" si="9"/>
        <v>0.27703488171056373</v>
      </c>
      <c r="AM19" s="3">
        <f t="shared" si="10"/>
        <v>2.0498333368932116</v>
      </c>
      <c r="AN19" s="3">
        <f t="shared" si="11"/>
        <v>1.7403404592858591</v>
      </c>
      <c r="AO19" s="3">
        <f t="shared" si="12"/>
        <v>0.032308841197559966</v>
      </c>
      <c r="AP19" s="3">
        <f t="shared" si="13"/>
        <v>0.0038336578748927185</v>
      </c>
      <c r="AQ19" s="3">
        <f t="shared" si="14"/>
        <v>0.07799907643290238</v>
      </c>
      <c r="AR19" s="3">
        <f t="shared" si="15"/>
        <v>47.86387376987121</v>
      </c>
      <c r="AS19" s="3">
        <f t="shared" si="28"/>
        <v>1.7764829583583117</v>
      </c>
      <c r="AT19" s="3">
        <f t="shared" si="29"/>
        <v>0.14788246362784527</v>
      </c>
      <c r="AU19" s="3">
        <f t="shared" si="30"/>
        <v>1.6427048940196467</v>
      </c>
      <c r="AV19" s="3">
        <f t="shared" si="31"/>
        <v>2.197715800521058</v>
      </c>
      <c r="AW19" s="3">
        <f t="shared" si="32"/>
        <v>11.711074037774887</v>
      </c>
      <c r="AX19" s="3">
        <f t="shared" si="33"/>
        <v>0.42491734533840897</v>
      </c>
      <c r="AY19" s="2">
        <f t="shared" si="34"/>
        <v>0.19334499266814437</v>
      </c>
    </row>
    <row r="20" spans="1:51" ht="12.75">
      <c r="A20" s="1" t="s">
        <v>184</v>
      </c>
      <c r="B20">
        <v>551.974253347764</v>
      </c>
      <c r="C20">
        <v>27.7559911400963</v>
      </c>
      <c r="D20">
        <v>413.687520596295</v>
      </c>
      <c r="E20">
        <v>149.555277464262</v>
      </c>
      <c r="F20">
        <v>234.252160214993</v>
      </c>
      <c r="G20">
        <v>5.63120721204246</v>
      </c>
      <c r="H20">
        <v>84.8159943011539</v>
      </c>
      <c r="I20">
        <v>8099.27574712517</v>
      </c>
      <c r="J20">
        <v>389.4386448912975</v>
      </c>
      <c r="K20">
        <v>78.2173286876028</v>
      </c>
      <c r="L20">
        <v>404.957086409024</v>
      </c>
      <c r="M20">
        <v>491.904849283898</v>
      </c>
      <c r="N20">
        <v>956.931339756788</v>
      </c>
      <c r="O20">
        <f t="shared" si="16"/>
        <v>105.9733198276991</v>
      </c>
      <c r="P20" s="3">
        <f t="shared" si="17"/>
        <v>23.190960725901455</v>
      </c>
      <c r="Q20" s="2">
        <f t="shared" si="18"/>
        <v>6.7094098221982685</v>
      </c>
      <c r="R20" s="2">
        <f t="shared" si="19"/>
        <v>36.15174981558325</v>
      </c>
      <c r="S20" s="2">
        <f t="shared" si="20"/>
        <v>56.62538717081402</v>
      </c>
      <c r="T20" s="2">
        <f t="shared" si="21"/>
        <v>1.3612224037905614</v>
      </c>
      <c r="U20">
        <f t="shared" si="22"/>
        <v>1.1625918652848801</v>
      </c>
      <c r="V20">
        <f t="shared" si="0"/>
        <v>0.05846085993446614</v>
      </c>
      <c r="W20">
        <f t="shared" si="1"/>
        <v>0.8713264129588086</v>
      </c>
      <c r="X20">
        <f t="shared" si="2"/>
        <v>0.31499974488996424</v>
      </c>
      <c r="Y20">
        <f t="shared" si="3"/>
        <v>0.49339195485949117</v>
      </c>
      <c r="Z20">
        <f t="shared" si="4"/>
        <v>0.01186069034333997</v>
      </c>
      <c r="AA20">
        <f t="shared" si="5"/>
        <v>0.17864308782975907</v>
      </c>
      <c r="AB20">
        <f t="shared" si="6"/>
        <v>17.059042231041023</v>
      </c>
      <c r="AC20">
        <f t="shared" si="7"/>
        <v>0.8202523900927955</v>
      </c>
      <c r="AD20">
        <f t="shared" si="23"/>
        <v>0.16474469507408063</v>
      </c>
      <c r="AE20">
        <f t="shared" si="24"/>
        <v>0.8529379977293552</v>
      </c>
      <c r="AF20">
        <f t="shared" si="25"/>
        <v>1.0360711080328897</v>
      </c>
      <c r="AG20">
        <f t="shared" si="26"/>
        <v>2.0155298630142355</v>
      </c>
      <c r="AH20">
        <f t="shared" si="27"/>
        <v>0.22320555500854677</v>
      </c>
      <c r="AI20" s="8">
        <v>2941062.56416</v>
      </c>
      <c r="AJ20">
        <v>2.35519040426104</v>
      </c>
      <c r="AK20" s="3">
        <f t="shared" si="8"/>
        <v>3.952965433147558</v>
      </c>
      <c r="AL20" s="3">
        <f t="shared" si="9"/>
        <v>0.19877462195763662</v>
      </c>
      <c r="AM20" s="3">
        <f t="shared" si="10"/>
        <v>2.9626245411330414</v>
      </c>
      <c r="AN20" s="3">
        <f t="shared" si="11"/>
        <v>1.0710406120854883</v>
      </c>
      <c r="AO20" s="3">
        <f t="shared" si="12"/>
        <v>1.6775976168341369</v>
      </c>
      <c r="AP20" s="3">
        <f t="shared" si="13"/>
        <v>0.04032790899410028</v>
      </c>
      <c r="AQ20" s="3">
        <f t="shared" si="14"/>
        <v>0.6074100225092679</v>
      </c>
      <c r="AR20" s="3">
        <f t="shared" si="15"/>
        <v>58.00298993609907</v>
      </c>
      <c r="AS20" s="3">
        <f t="shared" si="28"/>
        <v>2.788966137913726</v>
      </c>
      <c r="AT20" s="3">
        <f t="shared" si="29"/>
        <v>0.5601536569866664</v>
      </c>
      <c r="AU20" s="3">
        <f t="shared" si="30"/>
        <v>2.900101507949266</v>
      </c>
      <c r="AV20" s="3">
        <f t="shared" si="31"/>
        <v>3.5227781981197093</v>
      </c>
      <c r="AW20" s="3">
        <f t="shared" si="32"/>
        <v>6.853066941096825</v>
      </c>
      <c r="AX20" s="3">
        <f t="shared" si="33"/>
        <v>0.758928278944303</v>
      </c>
      <c r="AY20" s="2">
        <f t="shared" si="34"/>
        <v>0.2154345906164012</v>
      </c>
    </row>
    <row r="21" spans="1:51" ht="12.75">
      <c r="A21" s="1" t="s">
        <v>185</v>
      </c>
      <c r="B21">
        <v>1518.94563382592</v>
      </c>
      <c r="C21">
        <v>38.0503159173561</v>
      </c>
      <c r="D21">
        <v>387.125182040818</v>
      </c>
      <c r="E21">
        <v>334.464490720243</v>
      </c>
      <c r="F21">
        <v>16.7809440371666</v>
      </c>
      <c r="G21">
        <v>1.06449290316932</v>
      </c>
      <c r="H21">
        <v>27.7013993375963</v>
      </c>
      <c r="I21">
        <v>9324.63587089515</v>
      </c>
      <c r="J21">
        <v>352.3099276605789</v>
      </c>
      <c r="K21">
        <v>24.8652115778445</v>
      </c>
      <c r="L21">
        <v>278.825572362844</v>
      </c>
      <c r="M21">
        <v>411.990393618662</v>
      </c>
      <c r="N21">
        <v>1797.77120618877</v>
      </c>
      <c r="O21">
        <f t="shared" si="16"/>
        <v>62.91552749520061</v>
      </c>
      <c r="P21" s="3">
        <f t="shared" si="17"/>
        <v>46.55224425265263</v>
      </c>
      <c r="Q21" s="2">
        <f t="shared" si="18"/>
        <v>9.828943629232603</v>
      </c>
      <c r="R21" s="2">
        <f t="shared" si="19"/>
        <v>86.39698635904742</v>
      </c>
      <c r="S21" s="2">
        <f t="shared" si="20"/>
        <v>4.334759094901049</v>
      </c>
      <c r="T21" s="2">
        <f t="shared" si="21"/>
        <v>0.2749738204984767</v>
      </c>
      <c r="U21">
        <f t="shared" si="22"/>
        <v>3.3353970011041407</v>
      </c>
      <c r="V21">
        <f t="shared" si="0"/>
        <v>0.08355329300506067</v>
      </c>
      <c r="W21">
        <f t="shared" si="1"/>
        <v>0.850073987163401</v>
      </c>
      <c r="X21">
        <f t="shared" si="2"/>
        <v>0.734438306731374</v>
      </c>
      <c r="Y21">
        <f t="shared" si="3"/>
        <v>0.036848659471953496</v>
      </c>
      <c r="Z21">
        <f t="shared" si="4"/>
        <v>0.0023374809195669333</v>
      </c>
      <c r="AA21">
        <f t="shared" si="5"/>
        <v>0.060828486694604084</v>
      </c>
      <c r="AB21">
        <f t="shared" si="6"/>
        <v>20.475625873345898</v>
      </c>
      <c r="AC21">
        <f t="shared" si="7"/>
        <v>0.7736244471228942</v>
      </c>
      <c r="AD21">
        <f t="shared" si="23"/>
        <v>0.05460060602673775</v>
      </c>
      <c r="AE21">
        <f t="shared" si="24"/>
        <v>0.6122628467930789</v>
      </c>
      <c r="AF21">
        <f t="shared" si="25"/>
        <v>0.9046745931901373</v>
      </c>
      <c r="AG21">
        <f t="shared" si="26"/>
        <v>3.947659847897233</v>
      </c>
      <c r="AH21">
        <f t="shared" si="27"/>
        <v>0.1381538990317984</v>
      </c>
      <c r="AI21" s="8">
        <v>3066204.43953</v>
      </c>
      <c r="AJ21">
        <v>2.45540348630638</v>
      </c>
      <c r="AK21" s="3">
        <f t="shared" si="8"/>
        <v>10.877934158934957</v>
      </c>
      <c r="AL21" s="3">
        <f t="shared" si="9"/>
        <v>0.2724974627519229</v>
      </c>
      <c r="AM21" s="3">
        <f t="shared" si="10"/>
        <v>2.772398266091167</v>
      </c>
      <c r="AN21" s="3">
        <f t="shared" si="11"/>
        <v>2.3952685517732526</v>
      </c>
      <c r="AO21" s="3">
        <f t="shared" si="12"/>
        <v>0.12017678598626583</v>
      </c>
      <c r="AP21" s="3">
        <f t="shared" si="13"/>
        <v>0.007623369431704404</v>
      </c>
      <c r="AQ21" s="3">
        <f t="shared" si="14"/>
        <v>0.19838366258424736</v>
      </c>
      <c r="AR21" s="3">
        <f t="shared" si="15"/>
        <v>66.77841049791344</v>
      </c>
      <c r="AS21" s="3">
        <f t="shared" si="28"/>
        <v>2.523068707191222</v>
      </c>
      <c r="AT21" s="3">
        <f t="shared" si="29"/>
        <v>0.17807229460246668</v>
      </c>
      <c r="AU21" s="3">
        <f t="shared" si="30"/>
        <v>1.9968102547230313</v>
      </c>
      <c r="AV21" s="3">
        <f t="shared" si="31"/>
        <v>2.950470560693629</v>
      </c>
      <c r="AW21" s="3">
        <f t="shared" si="32"/>
        <v>12.874744413658034</v>
      </c>
      <c r="AX21" s="3">
        <f t="shared" si="33"/>
        <v>0.45056975735438953</v>
      </c>
      <c r="AY21" s="2">
        <f t="shared" si="34"/>
        <v>0.15271115169116098</v>
      </c>
    </row>
    <row r="22" spans="1:51" ht="12.75">
      <c r="A22" s="1" t="s">
        <v>186</v>
      </c>
      <c r="B22">
        <v>511.154216328794</v>
      </c>
      <c r="C22">
        <v>17.4128458960067</v>
      </c>
      <c r="D22">
        <v>80.1588521138001</v>
      </c>
      <c r="E22">
        <v>55.4069319915055</v>
      </c>
      <c r="F22">
        <v>6.68690405132334</v>
      </c>
      <c r="G22">
        <v>0.652677405654717</v>
      </c>
      <c r="H22">
        <v>5.6612395374212</v>
      </c>
      <c r="I22">
        <v>7203.36229086115</v>
      </c>
      <c r="J22">
        <v>62.746513448483554</v>
      </c>
      <c r="K22">
        <v>24.3554417751506</v>
      </c>
      <c r="L22">
        <v>351.466565258373</v>
      </c>
      <c r="M22">
        <v>104.51429388895</v>
      </c>
      <c r="N22">
        <v>862.620781587167</v>
      </c>
      <c r="O22">
        <f t="shared" si="16"/>
        <v>41.768287671157296</v>
      </c>
      <c r="P22" s="3">
        <f t="shared" si="17"/>
        <v>34.232518448926214</v>
      </c>
      <c r="Q22" s="2">
        <f t="shared" si="18"/>
        <v>21.722923216622405</v>
      </c>
      <c r="R22" s="2">
        <f t="shared" si="19"/>
        <v>69.12141395543597</v>
      </c>
      <c r="S22" s="2">
        <f t="shared" si="20"/>
        <v>8.342065629670023</v>
      </c>
      <c r="T22" s="2">
        <f t="shared" si="21"/>
        <v>0.8142299801500682</v>
      </c>
      <c r="U22">
        <f t="shared" si="22"/>
        <v>6.8408012836089265</v>
      </c>
      <c r="V22">
        <f t="shared" si="0"/>
        <v>0.23303694805104752</v>
      </c>
      <c r="W22">
        <f t="shared" si="1"/>
        <v>1.0727697452464746</v>
      </c>
      <c r="X22">
        <f t="shared" si="2"/>
        <v>0.7415136164004917</v>
      </c>
      <c r="Y22">
        <f t="shared" si="3"/>
        <v>0.08949115620370483</v>
      </c>
      <c r="Z22">
        <f t="shared" si="4"/>
        <v>0.008734812883776309</v>
      </c>
      <c r="AA22">
        <f t="shared" si="5"/>
        <v>0.07576463904094571</v>
      </c>
      <c r="AB22">
        <f t="shared" si="6"/>
        <v>96.40294148317535</v>
      </c>
      <c r="AC22">
        <f t="shared" si="7"/>
        <v>0.8397395854879727</v>
      </c>
      <c r="AD22">
        <f t="shared" si="23"/>
        <v>0.3259500401951928</v>
      </c>
      <c r="AE22">
        <f t="shared" si="24"/>
        <v>4.703693824602148</v>
      </c>
      <c r="AF22">
        <f t="shared" si="25"/>
        <v>1.3987197854416582</v>
      </c>
      <c r="AG22">
        <f t="shared" si="26"/>
        <v>11.544495108211075</v>
      </c>
      <c r="AH22">
        <f t="shared" si="27"/>
        <v>0.5589869882462404</v>
      </c>
      <c r="AI22" s="8">
        <v>11082593.0375</v>
      </c>
      <c r="AJ22">
        <v>14.9648576988865</v>
      </c>
      <c r="AK22" s="3">
        <f t="shared" si="8"/>
        <v>6.172563821897828</v>
      </c>
      <c r="AL22" s="3">
        <f t="shared" si="9"/>
        <v>0.21027294538608785</v>
      </c>
      <c r="AM22" s="3">
        <f t="shared" si="10"/>
        <v>0.9679772067931757</v>
      </c>
      <c r="AN22" s="3">
        <f t="shared" si="11"/>
        <v>0.6690795321017775</v>
      </c>
      <c r="AO22" s="3">
        <f t="shared" si="12"/>
        <v>0.08074929387093344</v>
      </c>
      <c r="AP22" s="3">
        <f t="shared" si="13"/>
        <v>0.00788156061872926</v>
      </c>
      <c r="AQ22" s="3">
        <f t="shared" si="14"/>
        <v>0.06836363907307799</v>
      </c>
      <c r="AR22" s="3">
        <f t="shared" si="15"/>
        <v>86.98590768151297</v>
      </c>
      <c r="AS22" s="3">
        <f t="shared" si="28"/>
        <v>0.75771038659144</v>
      </c>
      <c r="AT22" s="3">
        <f t="shared" si="29"/>
        <v>0.294109906492353</v>
      </c>
      <c r="AU22" s="3">
        <f t="shared" si="30"/>
        <v>4.24421776445849</v>
      </c>
      <c r="AV22" s="3">
        <f t="shared" si="31"/>
        <v>1.2620871132855203</v>
      </c>
      <c r="AW22" s="3">
        <f t="shared" si="32"/>
        <v>10.416781586356318</v>
      </c>
      <c r="AX22" s="3">
        <f t="shared" si="33"/>
        <v>0.5043828518784409</v>
      </c>
      <c r="AY22" s="2">
        <f t="shared" si="34"/>
        <v>0.39964186827437725</v>
      </c>
    </row>
    <row r="23" spans="1:51" ht="12.75">
      <c r="A23" s="1" t="s">
        <v>187</v>
      </c>
      <c r="B23">
        <v>840.094154746931</v>
      </c>
      <c r="C23">
        <v>38.7152683731028</v>
      </c>
      <c r="D23">
        <v>72.2255167030937</v>
      </c>
      <c r="E23">
        <v>22.493127405027</v>
      </c>
      <c r="F23">
        <v>10.0535652375894</v>
      </c>
      <c r="G23">
        <v>0.383339620479496</v>
      </c>
      <c r="H23">
        <v>0.708196410148848</v>
      </c>
      <c r="I23">
        <v>2946.55691130538</v>
      </c>
      <c r="J23">
        <v>32.930032263095896</v>
      </c>
      <c r="K23">
        <v>36.7341653662342</v>
      </c>
      <c r="L23">
        <v>399.38493400956</v>
      </c>
      <c r="M23">
        <v>108.959682069328</v>
      </c>
      <c r="N23">
        <v>1239.47908875649</v>
      </c>
      <c r="O23">
        <f t="shared" si="16"/>
        <v>75.449433739337</v>
      </c>
      <c r="P23" s="3">
        <f t="shared" si="17"/>
        <v>25.304767347750303</v>
      </c>
      <c r="Q23" s="2">
        <f t="shared" si="18"/>
        <v>53.60331104622541</v>
      </c>
      <c r="R23" s="2">
        <f t="shared" si="19"/>
        <v>31.142909641605275</v>
      </c>
      <c r="S23" s="2">
        <f t="shared" si="20"/>
        <v>13.919686139343002</v>
      </c>
      <c r="T23" s="2">
        <f t="shared" si="21"/>
        <v>0.5307537252455212</v>
      </c>
      <c r="U23">
        <f t="shared" si="22"/>
        <v>514.5379504017448</v>
      </c>
      <c r="V23">
        <f t="shared" si="0"/>
        <v>23.712193121913373</v>
      </c>
      <c r="W23">
        <f t="shared" si="1"/>
        <v>44.23643364393087</v>
      </c>
      <c r="X23">
        <f t="shared" si="2"/>
        <v>13.776512558398071</v>
      </c>
      <c r="Y23">
        <f t="shared" si="3"/>
        <v>6.157572722473911</v>
      </c>
      <c r="Z23">
        <f t="shared" si="4"/>
        <v>0.23478651948092621</v>
      </c>
      <c r="AA23">
        <f t="shared" si="5"/>
        <v>0.43375367784773033</v>
      </c>
      <c r="AB23">
        <f t="shared" si="6"/>
        <v>1804.6969441679764</v>
      </c>
      <c r="AC23">
        <f t="shared" si="7"/>
        <v>20.16887180035291</v>
      </c>
      <c r="AD23">
        <f t="shared" si="23"/>
        <v>22.49881403228505</v>
      </c>
      <c r="AE23">
        <f t="shared" si="24"/>
        <v>244.61389738929833</v>
      </c>
      <c r="AF23">
        <f t="shared" si="25"/>
        <v>66.73524767621599</v>
      </c>
      <c r="AG23">
        <f t="shared" si="26"/>
        <v>759.1518477910424</v>
      </c>
      <c r="AH23">
        <f t="shared" si="27"/>
        <v>46.21100715419842</v>
      </c>
      <c r="AI23" s="8">
        <v>253521000</v>
      </c>
      <c r="AJ23">
        <v>684.868218798799</v>
      </c>
      <c r="AK23" s="3">
        <f t="shared" si="8"/>
        <v>20.295673747016806</v>
      </c>
      <c r="AL23" s="3">
        <f t="shared" si="9"/>
        <v>0.9353147519106257</v>
      </c>
      <c r="AM23" s="3">
        <f t="shared" si="10"/>
        <v>1.7448824217295955</v>
      </c>
      <c r="AN23" s="3">
        <f t="shared" si="11"/>
        <v>0.5434071559515019</v>
      </c>
      <c r="AO23" s="3">
        <f t="shared" si="12"/>
        <v>0.24288215660532703</v>
      </c>
      <c r="AP23" s="3">
        <f t="shared" si="13"/>
        <v>0.009261028454484095</v>
      </c>
      <c r="AQ23" s="3">
        <f t="shared" si="14"/>
        <v>0.017109181403028955</v>
      </c>
      <c r="AR23" s="3">
        <f t="shared" si="15"/>
        <v>71.18530394594438</v>
      </c>
      <c r="AS23" s="3">
        <f t="shared" si="28"/>
        <v>0.7955503410113132</v>
      </c>
      <c r="AT23" s="3">
        <f t="shared" si="29"/>
        <v>0.8874536638891868</v>
      </c>
      <c r="AU23" s="3">
        <f t="shared" si="30"/>
        <v>9.648664110243267</v>
      </c>
      <c r="AV23" s="3">
        <f t="shared" si="31"/>
        <v>2.632336085618785</v>
      </c>
      <c r="AW23" s="3">
        <f t="shared" si="32"/>
        <v>29.94433785726005</v>
      </c>
      <c r="AX23" s="3">
        <f t="shared" si="33"/>
        <v>1.8227684157998123</v>
      </c>
      <c r="AY23" s="2">
        <f t="shared" si="34"/>
        <v>0.692452770661818</v>
      </c>
    </row>
    <row r="24" spans="1:51" ht="12.75">
      <c r="A24" s="1" t="s">
        <v>188</v>
      </c>
      <c r="B24">
        <v>1316.30487371459</v>
      </c>
      <c r="C24">
        <v>67.6164089767312</v>
      </c>
      <c r="D24">
        <v>135.469588633441</v>
      </c>
      <c r="E24">
        <v>58.8307341300415</v>
      </c>
      <c r="F24">
        <v>8.82457268477717</v>
      </c>
      <c r="G24">
        <v>0.367107472507329</v>
      </c>
      <c r="H24">
        <v>4.38903593648084</v>
      </c>
      <c r="I24">
        <v>6196.60275081241</v>
      </c>
      <c r="J24">
        <v>68.022414287326</v>
      </c>
      <c r="K24">
        <v>22.0655153377156</v>
      </c>
      <c r="L24">
        <v>240.678413215263</v>
      </c>
      <c r="M24">
        <v>157.535103971157</v>
      </c>
      <c r="N24">
        <v>1556.98328692985</v>
      </c>
      <c r="O24">
        <f t="shared" si="16"/>
        <v>89.68192431444679</v>
      </c>
      <c r="P24" s="3">
        <f t="shared" si="17"/>
        <v>22.70183940060725</v>
      </c>
      <c r="Q24" s="2">
        <f t="shared" si="18"/>
        <v>49.91261113200127</v>
      </c>
      <c r="R24" s="2">
        <f t="shared" si="19"/>
        <v>43.427262696742986</v>
      </c>
      <c r="S24" s="2">
        <f t="shared" si="20"/>
        <v>6.514061771203167</v>
      </c>
      <c r="T24" s="2">
        <f t="shared" si="21"/>
        <v>0.2709888442199843</v>
      </c>
      <c r="U24">
        <f t="shared" si="22"/>
        <v>43.475114859685895</v>
      </c>
      <c r="V24">
        <f t="shared" si="0"/>
        <v>2.2332449004517443</v>
      </c>
      <c r="W24">
        <f t="shared" si="1"/>
        <v>4.474309898445501</v>
      </c>
      <c r="X24">
        <f t="shared" si="2"/>
        <v>1.9430703134643021</v>
      </c>
      <c r="Y24">
        <f t="shared" si="3"/>
        <v>0.2914593106197977</v>
      </c>
      <c r="Z24">
        <f t="shared" si="4"/>
        <v>0.012124880680617817</v>
      </c>
      <c r="AA24">
        <f t="shared" si="5"/>
        <v>0.14496173741522367</v>
      </c>
      <c r="AB24">
        <f t="shared" si="6"/>
        <v>204.66232535565896</v>
      </c>
      <c r="AC24">
        <f t="shared" si="7"/>
        <v>2.2466545047647184</v>
      </c>
      <c r="AD24">
        <f t="shared" si="23"/>
        <v>0.7287831511541972</v>
      </c>
      <c r="AE24">
        <f t="shared" si="24"/>
        <v>7.949162741647094</v>
      </c>
      <c r="AF24">
        <f t="shared" si="25"/>
        <v>5.203093049599713</v>
      </c>
      <c r="AG24">
        <f t="shared" si="26"/>
        <v>51.42427760133288</v>
      </c>
      <c r="AH24">
        <f t="shared" si="27"/>
        <v>2.9620280516059414</v>
      </c>
      <c r="AI24" s="8">
        <v>46119018.1469</v>
      </c>
      <c r="AJ24">
        <v>36.9319137638075</v>
      </c>
      <c r="AK24" s="3">
        <f t="shared" si="8"/>
        <v>9.426721688047946</v>
      </c>
      <c r="AL24" s="3">
        <f t="shared" si="9"/>
        <v>0.48423513556562076</v>
      </c>
      <c r="AM24" s="3">
        <f t="shared" si="10"/>
        <v>0.9701659051356566</v>
      </c>
      <c r="AN24" s="3">
        <f t="shared" si="11"/>
        <v>0.421316496217496</v>
      </c>
      <c r="AO24" s="3">
        <f t="shared" si="12"/>
        <v>0.063197206343689</v>
      </c>
      <c r="AP24" s="3">
        <f t="shared" si="13"/>
        <v>0.0026290413733434654</v>
      </c>
      <c r="AQ24" s="3">
        <f t="shared" si="14"/>
        <v>0.03143209531336643</v>
      </c>
      <c r="AR24" s="3">
        <f t="shared" si="15"/>
        <v>44.37699100699867</v>
      </c>
      <c r="AS24" s="3">
        <f t="shared" si="28"/>
        <v>0.48714274393452855</v>
      </c>
      <c r="AT24" s="3">
        <f t="shared" si="29"/>
        <v>0.15802226075864195</v>
      </c>
      <c r="AU24" s="3">
        <f t="shared" si="30"/>
        <v>1.723619248858926</v>
      </c>
      <c r="AV24" s="3">
        <f t="shared" si="31"/>
        <v>1.1281881658943018</v>
      </c>
      <c r="AW24" s="3">
        <f t="shared" si="32"/>
        <v>11.150340936906847</v>
      </c>
      <c r="AX24" s="3">
        <f t="shared" si="33"/>
        <v>0.6422573963242627</v>
      </c>
      <c r="AY24" s="2">
        <f t="shared" si="34"/>
        <v>0.5692821603168942</v>
      </c>
    </row>
    <row r="25" spans="1:51" ht="12.75">
      <c r="A25" s="1" t="s">
        <v>189</v>
      </c>
      <c r="B25">
        <v>1358.19397945487</v>
      </c>
      <c r="C25">
        <v>38.415335517795</v>
      </c>
      <c r="D25">
        <v>230.724358588586</v>
      </c>
      <c r="E25">
        <v>178.128037254075</v>
      </c>
      <c r="F25">
        <v>13.4228472974355</v>
      </c>
      <c r="G25">
        <v>0.614448265550475</v>
      </c>
      <c r="H25">
        <v>21.7718868859092</v>
      </c>
      <c r="I25">
        <v>7976.54030591847</v>
      </c>
      <c r="J25">
        <v>192.16533281706097</v>
      </c>
      <c r="K25">
        <v>22.3310484106864</v>
      </c>
      <c r="L25">
        <v>270.948729386732</v>
      </c>
      <c r="M25">
        <v>253.055406999272</v>
      </c>
      <c r="N25">
        <v>1629.1427088416</v>
      </c>
      <c r="O25">
        <f t="shared" si="16"/>
        <v>60.7463839284814</v>
      </c>
      <c r="P25" s="3">
        <f t="shared" si="17"/>
        <v>41.230047039052174</v>
      </c>
      <c r="Q25" s="2">
        <f t="shared" si="18"/>
        <v>16.649882896107624</v>
      </c>
      <c r="R25" s="2">
        <f t="shared" si="19"/>
        <v>77.20382812796214</v>
      </c>
      <c r="S25" s="2">
        <f t="shared" si="20"/>
        <v>5.817698391078995</v>
      </c>
      <c r="T25" s="2">
        <f t="shared" si="21"/>
        <v>0.26631269854177936</v>
      </c>
      <c r="U25">
        <f t="shared" si="22"/>
        <v>3.801855003425619</v>
      </c>
      <c r="V25">
        <f t="shared" si="0"/>
        <v>0.10753216238318317</v>
      </c>
      <c r="W25">
        <f t="shared" si="1"/>
        <v>0.6458433555008475</v>
      </c>
      <c r="X25">
        <f t="shared" si="2"/>
        <v>0.49861579415673785</v>
      </c>
      <c r="Y25">
        <f t="shared" si="3"/>
        <v>0.037573218501863404</v>
      </c>
      <c r="Z25">
        <f t="shared" si="4"/>
        <v>0.0017199628683870845</v>
      </c>
      <c r="AA25">
        <f t="shared" si="5"/>
        <v>0.060943840381646255</v>
      </c>
      <c r="AB25">
        <f t="shared" si="6"/>
        <v>22.327922322446074</v>
      </c>
      <c r="AC25">
        <f t="shared" si="7"/>
        <v>0.5379089755269884</v>
      </c>
      <c r="AD25">
        <f t="shared" si="23"/>
        <v>0.06250904466973367</v>
      </c>
      <c r="AE25">
        <f t="shared" si="24"/>
        <v>0.758439367331174</v>
      </c>
      <c r="AF25">
        <f t="shared" si="25"/>
        <v>0.7083524001705801</v>
      </c>
      <c r="AG25">
        <f t="shared" si="26"/>
        <v>4.560294370756789</v>
      </c>
      <c r="AH25">
        <f t="shared" si="27"/>
        <v>0.17004120705291687</v>
      </c>
      <c r="AI25" s="8">
        <v>3908674.92371</v>
      </c>
      <c r="AJ25">
        <v>3.13005027022496</v>
      </c>
      <c r="AK25" s="3">
        <f t="shared" si="8"/>
        <v>9.726710656758863</v>
      </c>
      <c r="AL25" s="3">
        <f t="shared" si="9"/>
        <v>0.2751115518225721</v>
      </c>
      <c r="AM25" s="3">
        <f t="shared" si="10"/>
        <v>1.652333253868633</v>
      </c>
      <c r="AN25" s="3">
        <f t="shared" si="11"/>
        <v>1.2756645254179038</v>
      </c>
      <c r="AO25" s="3">
        <f t="shared" si="12"/>
        <v>0.09612776512557868</v>
      </c>
      <c r="AP25" s="3">
        <f t="shared" si="13"/>
        <v>0.004400373277280747</v>
      </c>
      <c r="AQ25" s="3">
        <f t="shared" si="14"/>
        <v>0.15591943963403368</v>
      </c>
      <c r="AR25" s="3">
        <f t="shared" si="15"/>
        <v>57.124019669696814</v>
      </c>
      <c r="AS25" s="3">
        <f t="shared" si="28"/>
        <v>1.3761926638207633</v>
      </c>
      <c r="AT25" s="3">
        <f t="shared" si="29"/>
        <v>0.1599238767351927</v>
      </c>
      <c r="AU25" s="3">
        <f t="shared" si="30"/>
        <v>1.9404002178090718</v>
      </c>
      <c r="AV25" s="3">
        <f t="shared" si="31"/>
        <v>1.812257130603823</v>
      </c>
      <c r="AW25" s="3">
        <f t="shared" si="32"/>
        <v>11.667110874567923</v>
      </c>
      <c r="AX25" s="3">
        <f t="shared" si="33"/>
        <v>0.4350354285577649</v>
      </c>
      <c r="AY25" s="2">
        <f t="shared" si="34"/>
        <v>0.24005171297784664</v>
      </c>
    </row>
    <row r="26" spans="1:61" ht="26.25">
      <c r="A26" s="1" t="s">
        <v>190</v>
      </c>
      <c r="B26">
        <v>3971.55682045295</v>
      </c>
      <c r="C26">
        <v>94.280777062668</v>
      </c>
      <c r="D26">
        <v>687.964089510514</v>
      </c>
      <c r="E26">
        <v>589.936919728299</v>
      </c>
      <c r="F26">
        <v>7.48438653809333</v>
      </c>
      <c r="G26">
        <v>1.23345226475422</v>
      </c>
      <c r="H26">
        <v>8.45270937384635</v>
      </c>
      <c r="I26">
        <v>6426.47628435548</v>
      </c>
      <c r="J26">
        <v>598.6547585311465</v>
      </c>
      <c r="K26">
        <v>40.5802490485079</v>
      </c>
      <c r="L26">
        <v>437.257069279961</v>
      </c>
      <c r="M26">
        <v>728.544338559022</v>
      </c>
      <c r="N26">
        <v>4408.81388973291</v>
      </c>
      <c r="O26">
        <f t="shared" si="16"/>
        <v>134.8610261111759</v>
      </c>
      <c r="P26" s="3">
        <f t="shared" si="17"/>
        <v>49.12406381993493</v>
      </c>
      <c r="Q26" s="2">
        <f t="shared" si="18"/>
        <v>13.704316620617321</v>
      </c>
      <c r="R26" s="2">
        <f t="shared" si="19"/>
        <v>85.75112113017974</v>
      </c>
      <c r="S26" s="2">
        <f t="shared" si="20"/>
        <v>1.087903664189575</v>
      </c>
      <c r="T26" s="2">
        <f t="shared" si="21"/>
        <v>0.1792902105736101</v>
      </c>
      <c r="U26">
        <f t="shared" si="22"/>
        <v>215.43921625262493</v>
      </c>
      <c r="V26">
        <f t="shared" si="0"/>
        <v>5.114310995997062</v>
      </c>
      <c r="W26">
        <f t="shared" si="1"/>
        <v>37.318978666202796</v>
      </c>
      <c r="X26">
        <f t="shared" si="2"/>
        <v>32.001442600601486</v>
      </c>
      <c r="Y26">
        <f t="shared" si="3"/>
        <v>0.40599453634774596</v>
      </c>
      <c r="Z26">
        <f t="shared" si="4"/>
        <v>0.06690927543455563</v>
      </c>
      <c r="AA26">
        <f t="shared" si="5"/>
        <v>0.4585217246130162</v>
      </c>
      <c r="AB26">
        <f t="shared" si="6"/>
        <v>348.60763085084704</v>
      </c>
      <c r="AC26">
        <f t="shared" si="7"/>
        <v>32.474346412383795</v>
      </c>
      <c r="AD26">
        <f t="shared" si="23"/>
        <v>2.2012972357146823</v>
      </c>
      <c r="AE26">
        <f t="shared" si="24"/>
        <v>23.71924274668967</v>
      </c>
      <c r="AF26">
        <f t="shared" si="25"/>
        <v>39.520275901917486</v>
      </c>
      <c r="AG26">
        <f t="shared" si="26"/>
        <v>239.15845899931455</v>
      </c>
      <c r="AH26">
        <f t="shared" si="27"/>
        <v>7.315608231711743</v>
      </c>
      <c r="AI26" s="8">
        <v>91110013.4848</v>
      </c>
      <c r="AJ26">
        <v>60.6570862083134</v>
      </c>
      <c r="AK26" s="3">
        <f t="shared" si="8"/>
        <v>23.64605250426913</v>
      </c>
      <c r="AL26" s="3">
        <f t="shared" si="9"/>
        <v>0.5613335790857159</v>
      </c>
      <c r="AM26" s="3">
        <f t="shared" si="10"/>
        <v>4.096034808778595</v>
      </c>
      <c r="AN26" s="3">
        <f t="shared" si="11"/>
        <v>3.512395770410058</v>
      </c>
      <c r="AO26" s="3">
        <f t="shared" si="12"/>
        <v>0.04456091277118278</v>
      </c>
      <c r="AP26" s="3">
        <f t="shared" si="13"/>
        <v>0.007343789433827512</v>
      </c>
      <c r="AQ26" s="3">
        <f t="shared" si="14"/>
        <v>0.05032616142566063</v>
      </c>
      <c r="AR26" s="3">
        <f t="shared" si="15"/>
        <v>38.262274092298945</v>
      </c>
      <c r="AS26" s="3">
        <f t="shared" si="28"/>
        <v>3.564300472615069</v>
      </c>
      <c r="AT26" s="3">
        <f t="shared" si="29"/>
        <v>0.24160870485239555</v>
      </c>
      <c r="AU26" s="3">
        <f t="shared" si="30"/>
        <v>2.603362883998122</v>
      </c>
      <c r="AV26" s="3">
        <f t="shared" si="31"/>
        <v>4.337643513630991</v>
      </c>
      <c r="AW26" s="3">
        <f t="shared" si="32"/>
        <v>26.249415388267245</v>
      </c>
      <c r="AX26" s="3">
        <f t="shared" si="33"/>
        <v>0.8029422839381113</v>
      </c>
      <c r="AY26" s="2">
        <f t="shared" si="34"/>
        <v>0.1851102520100776</v>
      </c>
      <c r="AZ26" s="163" t="s">
        <v>708</v>
      </c>
      <c r="BA26" s="5" t="s">
        <v>265</v>
      </c>
      <c r="BB26" s="5" t="s">
        <v>266</v>
      </c>
      <c r="BC26" s="5" t="s">
        <v>267</v>
      </c>
      <c r="BD26" s="5" t="s">
        <v>268</v>
      </c>
      <c r="BE26" s="5" t="s">
        <v>269</v>
      </c>
      <c r="BF26" s="5" t="s">
        <v>270</v>
      </c>
      <c r="BG26" s="5" t="s">
        <v>271</v>
      </c>
      <c r="BH26" s="5" t="s">
        <v>272</v>
      </c>
      <c r="BI26" s="5" t="s">
        <v>644</v>
      </c>
    </row>
    <row r="27" spans="1:61" ht="26.25">
      <c r="A27" s="1" t="s">
        <v>191</v>
      </c>
      <c r="B27">
        <v>475.479753373262</v>
      </c>
      <c r="C27">
        <v>22.2269406232931</v>
      </c>
      <c r="D27">
        <v>105.458628994203</v>
      </c>
      <c r="E27">
        <v>70.6941754799578</v>
      </c>
      <c r="F27">
        <v>9.49371593990173</v>
      </c>
      <c r="G27">
        <v>2.97320611252271</v>
      </c>
      <c r="H27">
        <v>15.552561091606</v>
      </c>
      <c r="I27">
        <v>5856.23195314737</v>
      </c>
      <c r="J27">
        <v>83.16109753238224</v>
      </c>
      <c r="K27">
        <v>81.6608462868523</v>
      </c>
      <c r="L27">
        <v>883.651950862706</v>
      </c>
      <c r="M27">
        <v>187.119475281055</v>
      </c>
      <c r="N27">
        <v>1359.13170423596</v>
      </c>
      <c r="O27">
        <f t="shared" si="16"/>
        <v>103.88778691014541</v>
      </c>
      <c r="P27" s="3">
        <f t="shared" si="17"/>
        <v>24.946464199233265</v>
      </c>
      <c r="Q27" s="2">
        <f t="shared" si="18"/>
        <v>21.07645513248129</v>
      </c>
      <c r="R27" s="2">
        <f t="shared" si="19"/>
        <v>67.03498438600394</v>
      </c>
      <c r="S27" s="2">
        <f t="shared" si="20"/>
        <v>9.002313068590711</v>
      </c>
      <c r="T27" s="2">
        <f t="shared" si="21"/>
        <v>2.8193104166811667</v>
      </c>
      <c r="U27">
        <f t="shared" si="22"/>
        <v>636.0056452102489</v>
      </c>
      <c r="V27">
        <f t="shared" si="0"/>
        <v>29.730939355203187</v>
      </c>
      <c r="W27">
        <f t="shared" si="1"/>
        <v>141.06233315005767</v>
      </c>
      <c r="X27">
        <f t="shared" si="2"/>
        <v>94.561113001674</v>
      </c>
      <c r="Y27">
        <f t="shared" si="3"/>
        <v>12.698872852026609</v>
      </c>
      <c r="Z27">
        <f t="shared" si="4"/>
        <v>3.976985052513066</v>
      </c>
      <c r="AA27">
        <f t="shared" si="5"/>
        <v>20.80323416836138</v>
      </c>
      <c r="AB27">
        <f t="shared" si="6"/>
        <v>7833.344228515403</v>
      </c>
      <c r="AC27">
        <f t="shared" si="7"/>
        <v>111.23697090621368</v>
      </c>
      <c r="AD27">
        <f t="shared" si="23"/>
        <v>109.23022244926791</v>
      </c>
      <c r="AE27">
        <f t="shared" si="24"/>
        <v>1181.9801477615017</v>
      </c>
      <c r="AF27">
        <f t="shared" si="25"/>
        <v>250.29255559932517</v>
      </c>
      <c r="AG27">
        <f t="shared" si="26"/>
        <v>1817.9857929717398</v>
      </c>
      <c r="AH27">
        <f t="shared" si="27"/>
        <v>138.96116180447112</v>
      </c>
      <c r="AI27" s="187">
        <f>(588.228435*1000000)-AI23</f>
        <v>334707435</v>
      </c>
      <c r="AJ27">
        <v>1495.7069296563</v>
      </c>
      <c r="AK27" s="3">
        <f t="shared" si="8"/>
        <v>19.00183798457447</v>
      </c>
      <c r="AL27" s="3">
        <f t="shared" si="9"/>
        <v>0.8882664753235371</v>
      </c>
      <c r="AM27" s="3">
        <f t="shared" si="10"/>
        <v>4.214496554283525</v>
      </c>
      <c r="AN27" s="3">
        <f t="shared" si="11"/>
        <v>2.8251871071126344</v>
      </c>
      <c r="AO27" s="3">
        <f t="shared" si="12"/>
        <v>0.37940217408157095</v>
      </c>
      <c r="AP27" s="3">
        <f t="shared" si="13"/>
        <v>0.11881974036558424</v>
      </c>
      <c r="AQ27" s="3">
        <f t="shared" si="14"/>
        <v>0.6215348687537038</v>
      </c>
      <c r="AR27" s="3">
        <f t="shared" si="15"/>
        <v>234.03556089261667</v>
      </c>
      <c r="AS27" s="3">
        <f t="shared" si="28"/>
        <v>3.32340902155979</v>
      </c>
      <c r="AT27" s="3">
        <f t="shared" si="29"/>
        <v>3.2634537218830504</v>
      </c>
      <c r="AU27" s="3">
        <f t="shared" si="30"/>
        <v>35.31383005464165</v>
      </c>
      <c r="AV27" s="3">
        <f t="shared" si="31"/>
        <v>7.477950276166562</v>
      </c>
      <c r="AW27" s="3">
        <f t="shared" si="32"/>
        <v>54.3156680392158</v>
      </c>
      <c r="AX27" s="3">
        <f t="shared" si="33"/>
        <v>4.151720197206588</v>
      </c>
      <c r="AY27" s="2">
        <f t="shared" si="34"/>
        <v>0.5551949456576079</v>
      </c>
      <c r="AZ27" s="5" t="s">
        <v>265</v>
      </c>
      <c r="BA27">
        <v>1</v>
      </c>
      <c r="BB27">
        <v>0.709026975044709</v>
      </c>
      <c r="BC27">
        <v>0.766627991672239</v>
      </c>
      <c r="BD27">
        <v>0.679838347268766</v>
      </c>
      <c r="BE27">
        <v>-0.040572428628986</v>
      </c>
      <c r="BF27">
        <v>0.369997846147173</v>
      </c>
      <c r="BG27">
        <v>0.064442546133775</v>
      </c>
      <c r="BH27">
        <v>0.188285607628338</v>
      </c>
      <c r="BI27">
        <v>0.664994952998518</v>
      </c>
    </row>
    <row r="28" spans="1:61" ht="26.25">
      <c r="A28" s="1" t="s">
        <v>192</v>
      </c>
      <c r="B28">
        <v>572.806551574862</v>
      </c>
      <c r="C28">
        <v>35.4790097166905</v>
      </c>
      <c r="D28">
        <v>90.4562649193998</v>
      </c>
      <c r="E28">
        <v>39.2339322448009</v>
      </c>
      <c r="F28">
        <v>7.39936440317611</v>
      </c>
      <c r="G28">
        <v>0.291091341934279</v>
      </c>
      <c r="H28">
        <v>7.6173040552955</v>
      </c>
      <c r="I28">
        <v>7639.36899644999</v>
      </c>
      <c r="J28">
        <v>46.92438798991128</v>
      </c>
      <c r="K28">
        <v>32.8297260623587</v>
      </c>
      <c r="L28">
        <v>248.362164543955</v>
      </c>
      <c r="M28">
        <v>123.285990981758</v>
      </c>
      <c r="N28">
        <v>821.168716118818</v>
      </c>
      <c r="O28">
        <f t="shared" si="16"/>
        <v>68.3087357790492</v>
      </c>
      <c r="P28" s="3">
        <f t="shared" si="17"/>
        <v>18.827521281917306</v>
      </c>
      <c r="Q28" s="2">
        <f t="shared" si="18"/>
        <v>39.22228023487786</v>
      </c>
      <c r="R28" s="2">
        <f t="shared" si="19"/>
        <v>43.37337196020632</v>
      </c>
      <c r="S28" s="2">
        <f t="shared" si="20"/>
        <v>8.180046356954096</v>
      </c>
      <c r="T28" s="2">
        <f t="shared" si="21"/>
        <v>0.3218034065342552</v>
      </c>
      <c r="U28">
        <f t="shared" si="22"/>
        <v>1.7616789371026034</v>
      </c>
      <c r="V28">
        <f t="shared" si="0"/>
        <v>0.10911646166634945</v>
      </c>
      <c r="W28">
        <f t="shared" si="1"/>
        <v>0.27820019900148274</v>
      </c>
      <c r="X28">
        <f t="shared" si="2"/>
        <v>0.1206648071069473</v>
      </c>
      <c r="Y28">
        <f t="shared" si="3"/>
        <v>0.02275690524345984</v>
      </c>
      <c r="Z28">
        <f t="shared" si="4"/>
        <v>0.0008952577173718487</v>
      </c>
      <c r="AA28">
        <f t="shared" si="5"/>
        <v>0.023427183356799507</v>
      </c>
      <c r="AB28">
        <f t="shared" si="6"/>
        <v>23.49504456050502</v>
      </c>
      <c r="AC28">
        <f t="shared" si="7"/>
        <v>0.144316970067779</v>
      </c>
      <c r="AD28">
        <f t="shared" si="23"/>
        <v>0.10096853249302788</v>
      </c>
      <c r="AE28">
        <f t="shared" si="24"/>
        <v>0.7638432082303334</v>
      </c>
      <c r="AF28">
        <f t="shared" si="25"/>
        <v>0.37916873149450914</v>
      </c>
      <c r="AG28">
        <f t="shared" si="26"/>
        <v>2.5255221453329395</v>
      </c>
      <c r="AH28">
        <f t="shared" si="27"/>
        <v>0.21008499415937731</v>
      </c>
      <c r="AI28" s="8">
        <v>4294519.60076</v>
      </c>
      <c r="AJ28">
        <v>3.43903304808128</v>
      </c>
      <c r="AK28" s="3">
        <f t="shared" si="8"/>
        <v>4.102156005507204</v>
      </c>
      <c r="AL28" s="3">
        <f t="shared" si="9"/>
        <v>0.25408304492786377</v>
      </c>
      <c r="AM28" s="3">
        <f t="shared" si="10"/>
        <v>0.6478028391167425</v>
      </c>
      <c r="AN28" s="3">
        <f t="shared" si="11"/>
        <v>0.2809739349788816</v>
      </c>
      <c r="AO28" s="3">
        <f t="shared" si="12"/>
        <v>0.052990572541414316</v>
      </c>
      <c r="AP28" s="3">
        <f t="shared" si="13"/>
        <v>0.0020846516039032983</v>
      </c>
      <c r="AQ28" s="3">
        <f t="shared" si="14"/>
        <v>0.05455134807780038</v>
      </c>
      <c r="AR28" s="3">
        <f t="shared" si="15"/>
        <v>54.70936622654396</v>
      </c>
      <c r="AS28" s="3">
        <f t="shared" si="28"/>
        <v>0.33604915912419925</v>
      </c>
      <c r="AT28" s="3">
        <f t="shared" si="29"/>
        <v>0.23511019131257316</v>
      </c>
      <c r="AU28" s="3">
        <f t="shared" si="30"/>
        <v>1.7786464593039844</v>
      </c>
      <c r="AV28" s="3">
        <f t="shared" si="31"/>
        <v>0.8829130304293122</v>
      </c>
      <c r="AW28" s="3">
        <f t="shared" si="32"/>
        <v>5.880802464811195</v>
      </c>
      <c r="AX28" s="3">
        <f t="shared" si="33"/>
        <v>0.48919323624043687</v>
      </c>
      <c r="AY28" s="2">
        <f t="shared" si="34"/>
        <v>0.5540672969823188</v>
      </c>
      <c r="AZ28" s="5" t="s">
        <v>266</v>
      </c>
      <c r="BA28">
        <v>0.709026975044709</v>
      </c>
      <c r="BB28">
        <v>1</v>
      </c>
      <c r="BC28">
        <v>0.526034824061782</v>
      </c>
      <c r="BD28">
        <v>0.328075378253844</v>
      </c>
      <c r="BE28">
        <v>-0.016790936648548</v>
      </c>
      <c r="BF28">
        <v>0.253633750430975</v>
      </c>
      <c r="BG28">
        <v>-0.041363805581155</v>
      </c>
      <c r="BH28">
        <v>0.083390375997345</v>
      </c>
      <c r="BI28">
        <v>0.32174115311071</v>
      </c>
    </row>
    <row r="29" spans="1:61" ht="26.25">
      <c r="A29" s="1" t="s">
        <v>193</v>
      </c>
      <c r="B29">
        <v>1691.14629341614</v>
      </c>
      <c r="C29">
        <v>47.4449318227703</v>
      </c>
      <c r="D29">
        <v>315.290421369898</v>
      </c>
      <c r="E29">
        <v>251.61679956954</v>
      </c>
      <c r="F29">
        <v>14.6048727688076</v>
      </c>
      <c r="G29">
        <v>1.07545745518011</v>
      </c>
      <c r="H29">
        <v>10.1316209126443</v>
      </c>
      <c r="I29">
        <v>6226.35285006168</v>
      </c>
      <c r="J29">
        <v>267.29712979352774</v>
      </c>
      <c r="K29">
        <v>26.6498085427739</v>
      </c>
      <c r="L29">
        <v>267.852935310593</v>
      </c>
      <c r="M29">
        <v>341.940229912672</v>
      </c>
      <c r="N29">
        <v>1958.99922872673</v>
      </c>
      <c r="O29">
        <f t="shared" si="16"/>
        <v>74.0947403655442</v>
      </c>
      <c r="P29" s="3">
        <f t="shared" si="17"/>
        <v>41.56693583835316</v>
      </c>
      <c r="Q29" s="2">
        <f t="shared" si="18"/>
        <v>15.048009266069018</v>
      </c>
      <c r="R29" s="2">
        <f t="shared" si="19"/>
        <v>79.8047712570195</v>
      </c>
      <c r="S29" s="2">
        <f t="shared" si="20"/>
        <v>4.632196787124464</v>
      </c>
      <c r="T29" s="2">
        <f t="shared" si="21"/>
        <v>0.3411005797471994</v>
      </c>
      <c r="U29">
        <f t="shared" si="22"/>
        <v>35.22874809341685</v>
      </c>
      <c r="V29">
        <f t="shared" si="0"/>
        <v>0.9883388314782678</v>
      </c>
      <c r="W29">
        <f t="shared" si="1"/>
        <v>6.56790419252879</v>
      </c>
      <c r="X29">
        <f t="shared" si="2"/>
        <v>5.241500917227795</v>
      </c>
      <c r="Y29">
        <f t="shared" si="3"/>
        <v>0.30423824698773166</v>
      </c>
      <c r="Z29">
        <f t="shared" si="4"/>
        <v>0.02240315927795632</v>
      </c>
      <c r="AA29">
        <f t="shared" si="5"/>
        <v>0.2110546688356262</v>
      </c>
      <c r="AB29">
        <f t="shared" si="6"/>
        <v>129.70292218331252</v>
      </c>
      <c r="AC29">
        <f t="shared" si="7"/>
        <v>5.568142323493483</v>
      </c>
      <c r="AD29">
        <f t="shared" si="23"/>
        <v>0.5551497203678938</v>
      </c>
      <c r="AE29">
        <f t="shared" si="24"/>
        <v>5.57972046586109</v>
      </c>
      <c r="AF29">
        <f t="shared" si="25"/>
        <v>7.123053912896688</v>
      </c>
      <c r="AG29">
        <f t="shared" si="26"/>
        <v>40.80846855927788</v>
      </c>
      <c r="AH29">
        <f t="shared" si="27"/>
        <v>1.5434885518461614</v>
      </c>
      <c r="AI29" s="8">
        <v>32354646.4008</v>
      </c>
      <c r="AJ29">
        <v>23.2934381646661</v>
      </c>
      <c r="AK29" s="3">
        <f t="shared" si="8"/>
        <v>10.88831188479494</v>
      </c>
      <c r="AL29" s="3">
        <f t="shared" si="9"/>
        <v>0.30547044750080476</v>
      </c>
      <c r="AM29" s="3">
        <f t="shared" si="10"/>
        <v>2.0299724840653464</v>
      </c>
      <c r="AN29" s="3">
        <f t="shared" si="11"/>
        <v>1.6200148974887865</v>
      </c>
      <c r="AO29" s="3">
        <f t="shared" si="12"/>
        <v>0.09403232018638567</v>
      </c>
      <c r="AP29" s="3">
        <f t="shared" si="13"/>
        <v>0.006924247911855522</v>
      </c>
      <c r="AQ29" s="3">
        <f t="shared" si="14"/>
        <v>0.06523164129848369</v>
      </c>
      <c r="AR29" s="3">
        <f t="shared" si="15"/>
        <v>40.08788122008512</v>
      </c>
      <c r="AS29" s="3">
        <f t="shared" si="28"/>
        <v>1.7209714655870276</v>
      </c>
      <c r="AT29" s="3">
        <f t="shared" si="29"/>
        <v>0.17158268815268743</v>
      </c>
      <c r="AU29" s="3">
        <f t="shared" si="30"/>
        <v>1.7245499755247289</v>
      </c>
      <c r="AV29" s="3">
        <f t="shared" si="31"/>
        <v>2.201555172218035</v>
      </c>
      <c r="AW29" s="3">
        <f t="shared" si="32"/>
        <v>12.612861860319649</v>
      </c>
      <c r="AX29" s="3">
        <f t="shared" si="33"/>
        <v>0.47705313565349217</v>
      </c>
      <c r="AY29" s="2">
        <f t="shared" si="34"/>
        <v>0.2166891575889366</v>
      </c>
      <c r="AZ29" s="5" t="s">
        <v>267</v>
      </c>
      <c r="BA29">
        <v>0.766627991672239</v>
      </c>
      <c r="BB29">
        <v>0.526034824061782</v>
      </c>
      <c r="BC29">
        <v>1</v>
      </c>
      <c r="BD29">
        <v>0.963711011735766</v>
      </c>
      <c r="BE29">
        <v>0.135009857264981</v>
      </c>
      <c r="BF29">
        <v>0.512106658193462</v>
      </c>
      <c r="BG29">
        <v>0.152746649973521</v>
      </c>
      <c r="BH29">
        <v>0.289627495041834</v>
      </c>
      <c r="BI29">
        <v>0.974404259774425</v>
      </c>
    </row>
    <row r="30" spans="1:61" ht="26.25">
      <c r="A30" s="1" t="s">
        <v>194</v>
      </c>
      <c r="B30">
        <v>2913.98946680943</v>
      </c>
      <c r="C30">
        <v>67.3307965808232</v>
      </c>
      <c r="D30">
        <v>671.173720084464</v>
      </c>
      <c r="E30">
        <v>587.200815739692</v>
      </c>
      <c r="F30">
        <v>14.4562607909258</v>
      </c>
      <c r="G30">
        <v>2.1858469730231</v>
      </c>
      <c r="H30">
        <v>9.5849682587233</v>
      </c>
      <c r="I30">
        <v>10156.8961785888</v>
      </c>
      <c r="J30">
        <v>603.8429235036409</v>
      </c>
      <c r="K30">
        <v>63.8146211590408</v>
      </c>
      <c r="L30">
        <v>716.791743089471</v>
      </c>
      <c r="M30">
        <v>734.988341243505</v>
      </c>
      <c r="N30">
        <v>3630.7812098989</v>
      </c>
      <c r="O30">
        <f t="shared" si="16"/>
        <v>131.145417739864</v>
      </c>
      <c r="P30" s="3">
        <f t="shared" si="17"/>
        <v>50.46971879322342</v>
      </c>
      <c r="Q30" s="2">
        <f t="shared" si="18"/>
        <v>10.031798708142201</v>
      </c>
      <c r="R30" s="2">
        <f t="shared" si="19"/>
        <v>87.48864834365023</v>
      </c>
      <c r="S30" s="2">
        <f t="shared" si="20"/>
        <v>2.1538776561612916</v>
      </c>
      <c r="T30" s="2">
        <f t="shared" si="21"/>
        <v>0.32567529204630086</v>
      </c>
      <c r="U30">
        <f t="shared" si="22"/>
        <v>3.001545475983832</v>
      </c>
      <c r="V30">
        <f t="shared" si="0"/>
        <v>0.06935387041492498</v>
      </c>
      <c r="W30">
        <f t="shared" si="1"/>
        <v>0.6913403312073506</v>
      </c>
      <c r="X30">
        <f t="shared" si="2"/>
        <v>0.6048443112278256</v>
      </c>
      <c r="Y30">
        <f t="shared" si="3"/>
        <v>0.01489062492190659</v>
      </c>
      <c r="Z30">
        <f t="shared" si="4"/>
        <v>0.0022515246426934024</v>
      </c>
      <c r="AA30">
        <f t="shared" si="5"/>
        <v>0.009872965720057986</v>
      </c>
      <c r="AB30">
        <f t="shared" si="6"/>
        <v>10.462078234023501</v>
      </c>
      <c r="AC30">
        <f t="shared" si="7"/>
        <v>0.6219864607924257</v>
      </c>
      <c r="AD30">
        <f t="shared" si="23"/>
        <v>0.06573204523325325</v>
      </c>
      <c r="AE30">
        <f t="shared" si="24"/>
        <v>0.7383290290504917</v>
      </c>
      <c r="AF30">
        <f t="shared" si="25"/>
        <v>0.757072376440604</v>
      </c>
      <c r="AG30">
        <f t="shared" si="26"/>
        <v>3.739874505034323</v>
      </c>
      <c r="AH30">
        <f t="shared" si="27"/>
        <v>0.13508591564817826</v>
      </c>
      <c r="AI30" s="8">
        <v>1438310.84176</v>
      </c>
      <c r="AJ30">
        <v>1.15179321043286</v>
      </c>
      <c r="AK30" s="3">
        <f t="shared" si="8"/>
        <v>20.8685451630954</v>
      </c>
      <c r="AL30" s="3">
        <f t="shared" si="9"/>
        <v>0.48218972145172456</v>
      </c>
      <c r="AM30" s="3">
        <f t="shared" si="10"/>
        <v>4.806612806737845</v>
      </c>
      <c r="AN30" s="3">
        <f t="shared" si="11"/>
        <v>4.2052405757277285</v>
      </c>
      <c r="AO30" s="3">
        <f t="shared" si="12"/>
        <v>0.10352855926251354</v>
      </c>
      <c r="AP30" s="3">
        <f t="shared" si="13"/>
        <v>0.015653950295878374</v>
      </c>
      <c r="AQ30" s="3">
        <f t="shared" si="14"/>
        <v>0.0686427817506879</v>
      </c>
      <c r="AR30" s="3">
        <f t="shared" si="15"/>
        <v>72.7386454323149</v>
      </c>
      <c r="AS30" s="3">
        <f t="shared" si="28"/>
        <v>4.324423085286121</v>
      </c>
      <c r="AT30" s="3">
        <f t="shared" si="29"/>
        <v>0.4570086195889322</v>
      </c>
      <c r="AU30" s="3">
        <f t="shared" si="30"/>
        <v>5.1333064287204415</v>
      </c>
      <c r="AV30" s="3">
        <f t="shared" si="31"/>
        <v>5.263621426326778</v>
      </c>
      <c r="AW30" s="3">
        <f t="shared" si="32"/>
        <v>26.00185159181584</v>
      </c>
      <c r="AX30" s="3">
        <f t="shared" si="33"/>
        <v>0.9391983410406568</v>
      </c>
      <c r="AY30" s="2">
        <f t="shared" si="34"/>
        <v>0.17843197011531223</v>
      </c>
      <c r="AZ30" s="5" t="s">
        <v>268</v>
      </c>
      <c r="BA30">
        <v>0.679838347268766</v>
      </c>
      <c r="BB30">
        <v>0.328075378253844</v>
      </c>
      <c r="BC30">
        <v>0.963711011735766</v>
      </c>
      <c r="BD30">
        <v>1</v>
      </c>
      <c r="BE30">
        <v>-0.009688855151309</v>
      </c>
      <c r="BF30">
        <v>0.386389863709306</v>
      </c>
      <c r="BG30">
        <v>0.046976675608357</v>
      </c>
      <c r="BH30">
        <v>0.278028148218998</v>
      </c>
      <c r="BI30">
        <v>0.985647810115205</v>
      </c>
    </row>
    <row r="31" spans="1:61" ht="26.25">
      <c r="A31" s="1" t="s">
        <v>195</v>
      </c>
      <c r="B31">
        <v>770.337771791209</v>
      </c>
      <c r="C31">
        <v>35.1087284521302</v>
      </c>
      <c r="D31">
        <v>88.9606529006625</v>
      </c>
      <c r="E31">
        <v>42.158695953421</v>
      </c>
      <c r="F31">
        <v>11.4424964527097</v>
      </c>
      <c r="G31">
        <v>0.740715905658379</v>
      </c>
      <c r="H31">
        <v>2.34772654474925</v>
      </c>
      <c r="I31">
        <v>3523.37839206548</v>
      </c>
      <c r="J31">
        <v>54.341908311789076</v>
      </c>
      <c r="K31">
        <v>20.8661939335614</v>
      </c>
      <c r="L31">
        <v>229.41101797636</v>
      </c>
      <c r="M31">
        <v>109.826846834224</v>
      </c>
      <c r="N31">
        <v>999.748789767569</v>
      </c>
      <c r="O31">
        <f t="shared" si="16"/>
        <v>55.9749223856916</v>
      </c>
      <c r="P31" s="3">
        <f t="shared" si="17"/>
        <v>25.58719932111566</v>
      </c>
      <c r="Q31" s="2">
        <f t="shared" si="18"/>
        <v>39.4654572638245</v>
      </c>
      <c r="R31" s="2">
        <f t="shared" si="19"/>
        <v>47.39027264165576</v>
      </c>
      <c r="S31" s="2">
        <f t="shared" si="20"/>
        <v>12.862424093814722</v>
      </c>
      <c r="T31" s="2">
        <f t="shared" si="21"/>
        <v>0.8326331715275246</v>
      </c>
      <c r="U31">
        <f t="shared" si="22"/>
        <v>364.229622621892</v>
      </c>
      <c r="V31">
        <f t="shared" si="0"/>
        <v>16.600041414456054</v>
      </c>
      <c r="W31">
        <f t="shared" si="1"/>
        <v>42.0622046856968</v>
      </c>
      <c r="X31">
        <f t="shared" si="2"/>
        <v>19.93339347964302</v>
      </c>
      <c r="Y31">
        <f t="shared" si="3"/>
        <v>5.410219149882732</v>
      </c>
      <c r="Z31">
        <f t="shared" si="4"/>
        <v>0.3502238688889163</v>
      </c>
      <c r="AA31">
        <f t="shared" si="5"/>
        <v>1.110047546318663</v>
      </c>
      <c r="AB31">
        <f t="shared" si="6"/>
        <v>1665.91699003949</v>
      </c>
      <c r="AC31">
        <f t="shared" si="7"/>
        <v>25.693836498414665</v>
      </c>
      <c r="AD31">
        <f t="shared" si="23"/>
        <v>9.865913655388296</v>
      </c>
      <c r="AE31">
        <f t="shared" si="24"/>
        <v>108.46967598192909</v>
      </c>
      <c r="AF31">
        <f t="shared" si="25"/>
        <v>51.928118341085145</v>
      </c>
      <c r="AG31">
        <f t="shared" si="26"/>
        <v>472.6992986038211</v>
      </c>
      <c r="AH31">
        <f t="shared" si="27"/>
        <v>26.46595506984435</v>
      </c>
      <c r="AI31" s="8">
        <v>146815175.058</v>
      </c>
      <c r="AJ31">
        <v>528.702829752128</v>
      </c>
      <c r="AK31" s="3">
        <f t="shared" si="8"/>
        <v>24.80871766001038</v>
      </c>
      <c r="AL31" s="3">
        <f t="shared" si="9"/>
        <v>1.1306761312581026</v>
      </c>
      <c r="AM31" s="3">
        <f t="shared" si="10"/>
        <v>2.864976639443432</v>
      </c>
      <c r="AN31" s="3">
        <f t="shared" si="11"/>
        <v>1.3577202405519893</v>
      </c>
      <c r="AO31" s="3">
        <f t="shared" si="12"/>
        <v>0.3685054455539354</v>
      </c>
      <c r="AP31" s="3">
        <f t="shared" si="13"/>
        <v>0.023854745856520542</v>
      </c>
      <c r="AQ31" s="3">
        <f t="shared" si="14"/>
        <v>0.0756085020421175</v>
      </c>
      <c r="AR31" s="3">
        <f t="shared" si="15"/>
        <v>113.47035409530125</v>
      </c>
      <c r="AS31" s="3">
        <f t="shared" si="28"/>
        <v>1.7500804319624452</v>
      </c>
      <c r="AT31" s="3">
        <f t="shared" si="29"/>
        <v>0.6719954971610205</v>
      </c>
      <c r="AU31" s="3">
        <f t="shared" si="30"/>
        <v>7.388178772329063</v>
      </c>
      <c r="AV31" s="3">
        <f t="shared" si="31"/>
        <v>3.5369721366044558</v>
      </c>
      <c r="AW31" s="3">
        <f t="shared" si="32"/>
        <v>32.19689643233944</v>
      </c>
      <c r="AX31" s="3">
        <f t="shared" si="33"/>
        <v>1.8026716284191233</v>
      </c>
      <c r="AY31" s="2">
        <f t="shared" si="34"/>
        <v>0.5096652048126435</v>
      </c>
      <c r="AZ31" s="5" t="s">
        <v>269</v>
      </c>
      <c r="BA31">
        <v>-0.040572428628986</v>
      </c>
      <c r="BB31">
        <v>-0.016790936648548</v>
      </c>
      <c r="BC31">
        <v>0.135009857264981</v>
      </c>
      <c r="BD31">
        <v>-0.009688855151309</v>
      </c>
      <c r="BE31">
        <v>1</v>
      </c>
      <c r="BF31">
        <v>0.74029188559003</v>
      </c>
      <c r="BG31">
        <v>0.825224067643331</v>
      </c>
      <c r="BH31">
        <v>0.168913537185303</v>
      </c>
      <c r="BI31">
        <v>0.15923577274929</v>
      </c>
    </row>
    <row r="32" spans="1:61" ht="26.25">
      <c r="A32" s="1" t="s">
        <v>196</v>
      </c>
      <c r="B32">
        <v>2542.45185013375</v>
      </c>
      <c r="C32">
        <v>204.459091410244</v>
      </c>
      <c r="D32">
        <v>720.401822451346</v>
      </c>
      <c r="E32">
        <v>506.744040773754</v>
      </c>
      <c r="F32">
        <v>8.52877835434872</v>
      </c>
      <c r="G32">
        <v>0.848699382643859</v>
      </c>
      <c r="H32">
        <v>6.30441721185546</v>
      </c>
      <c r="I32">
        <v>6052.13763856313</v>
      </c>
      <c r="J32">
        <v>516.1215185107466</v>
      </c>
      <c r="K32">
        <v>40.5962454361519</v>
      </c>
      <c r="L32">
        <v>201.47115426107</v>
      </c>
      <c r="M32">
        <v>760.998067887498</v>
      </c>
      <c r="N32">
        <v>2743.92300439482</v>
      </c>
      <c r="O32">
        <f t="shared" si="16"/>
        <v>245.0553368463959</v>
      </c>
      <c r="P32" s="3">
        <f t="shared" si="17"/>
        <v>14.501167541196837</v>
      </c>
      <c r="Q32" s="2">
        <f t="shared" si="18"/>
        <v>28.38125682615866</v>
      </c>
      <c r="R32" s="2">
        <f t="shared" si="19"/>
        <v>70.34185991498906</v>
      </c>
      <c r="S32" s="2">
        <f t="shared" si="20"/>
        <v>1.1838918348828484</v>
      </c>
      <c r="T32" s="2">
        <f t="shared" si="21"/>
        <v>0.1178091665226427</v>
      </c>
      <c r="U32">
        <f t="shared" si="22"/>
        <v>18.55499633868876</v>
      </c>
      <c r="V32">
        <f t="shared" si="0"/>
        <v>1.4921571444230621</v>
      </c>
      <c r="W32">
        <f t="shared" si="1"/>
        <v>5.257544278475219</v>
      </c>
      <c r="X32">
        <f t="shared" si="2"/>
        <v>3.6982544313335617</v>
      </c>
      <c r="Y32">
        <f t="shared" si="3"/>
        <v>0.06224363742821849</v>
      </c>
      <c r="Z32">
        <f t="shared" si="4"/>
        <v>0.006193869094030546</v>
      </c>
      <c r="AA32">
        <f t="shared" si="5"/>
        <v>0.04601008993637012</v>
      </c>
      <c r="AB32">
        <f t="shared" si="6"/>
        <v>44.16893547811799</v>
      </c>
      <c r="AC32">
        <f t="shared" si="7"/>
        <v>3.7666919378558097</v>
      </c>
      <c r="AD32">
        <f t="shared" si="23"/>
        <v>0.29627431701122753</v>
      </c>
      <c r="AE32">
        <f t="shared" si="24"/>
        <v>1.4703509643531272</v>
      </c>
      <c r="AF32">
        <f t="shared" si="25"/>
        <v>5.553818595486447</v>
      </c>
      <c r="AG32">
        <f t="shared" si="26"/>
        <v>20.025347303041883</v>
      </c>
      <c r="AH32">
        <f t="shared" si="27"/>
        <v>1.7884314614342895</v>
      </c>
      <c r="AI32" s="8">
        <v>13072899.5325</v>
      </c>
      <c r="AJ32">
        <v>8.1606678187404</v>
      </c>
      <c r="AK32" s="3">
        <f t="shared" si="8"/>
        <v>14.193481937622135</v>
      </c>
      <c r="AL32" s="3">
        <f t="shared" si="9"/>
        <v>1.1414125387512322</v>
      </c>
      <c r="AM32" s="3">
        <f t="shared" si="10"/>
        <v>4.021712448263412</v>
      </c>
      <c r="AN32" s="3">
        <f t="shared" si="11"/>
        <v>2.8289473365411264</v>
      </c>
      <c r="AO32" s="3">
        <f t="shared" si="12"/>
        <v>0.047612725297457636</v>
      </c>
      <c r="AP32" s="3">
        <f t="shared" si="13"/>
        <v>0.004737945915236495</v>
      </c>
      <c r="AQ32" s="3">
        <f t="shared" si="14"/>
        <v>0.035195015323101285</v>
      </c>
      <c r="AR32" s="3">
        <f t="shared" si="15"/>
        <v>33.786640345786644</v>
      </c>
      <c r="AS32" s="3">
        <f t="shared" si="28"/>
        <v>2.88129800775382</v>
      </c>
      <c r="AT32" s="3">
        <f t="shared" si="29"/>
        <v>0.22663244391550022</v>
      </c>
      <c r="AU32" s="3">
        <f t="shared" si="30"/>
        <v>1.124732092293487</v>
      </c>
      <c r="AV32" s="3">
        <f t="shared" si="31"/>
        <v>4.248344892178913</v>
      </c>
      <c r="AW32" s="3">
        <f t="shared" si="32"/>
        <v>15.318214029915618</v>
      </c>
      <c r="AX32" s="3">
        <f t="shared" si="33"/>
        <v>1.3680449826667322</v>
      </c>
      <c r="AY32" s="2">
        <f t="shared" si="34"/>
        <v>0.32201834299876775</v>
      </c>
      <c r="AZ32" s="5" t="s">
        <v>270</v>
      </c>
      <c r="BA32">
        <v>0.369997846147173</v>
      </c>
      <c r="BB32">
        <v>0.253633750430975</v>
      </c>
      <c r="BC32">
        <v>0.512106658193462</v>
      </c>
      <c r="BD32">
        <v>0.386389863709306</v>
      </c>
      <c r="BE32">
        <v>0.74029188559003</v>
      </c>
      <c r="BF32">
        <v>1</v>
      </c>
      <c r="BG32">
        <v>0.663113125271216</v>
      </c>
      <c r="BH32">
        <v>0.265319675962425</v>
      </c>
      <c r="BI32">
        <v>0.507896038965841</v>
      </c>
    </row>
    <row r="33" spans="1:61" ht="26.25">
      <c r="A33" s="1" t="s">
        <v>197</v>
      </c>
      <c r="B33">
        <v>1591.89935549381</v>
      </c>
      <c r="C33">
        <v>73.395658795578</v>
      </c>
      <c r="D33">
        <v>87.0116654997957</v>
      </c>
      <c r="E33">
        <v>4.53187256583995</v>
      </c>
      <c r="F33">
        <v>8.64821824518058</v>
      </c>
      <c r="G33">
        <v>0.435915893197211</v>
      </c>
      <c r="H33">
        <v>11.3973263312537</v>
      </c>
      <c r="I33">
        <v>7609.82389352159</v>
      </c>
      <c r="J33">
        <v>13.616006704217742</v>
      </c>
      <c r="K33">
        <v>91.5502147741522</v>
      </c>
      <c r="L33">
        <v>454.788715851258</v>
      </c>
      <c r="M33">
        <v>178.561880273947</v>
      </c>
      <c r="N33">
        <v>2046.68807134506</v>
      </c>
      <c r="O33">
        <f t="shared" si="16"/>
        <v>164.9458735697302</v>
      </c>
      <c r="P33" s="3">
        <f t="shared" si="17"/>
        <v>25.293090257778747</v>
      </c>
      <c r="Q33" s="2">
        <f t="shared" si="18"/>
        <v>84.35151582720863</v>
      </c>
      <c r="R33" s="2">
        <f t="shared" si="19"/>
        <v>5.208350558294497</v>
      </c>
      <c r="S33" s="2">
        <f t="shared" si="20"/>
        <v>9.939148038949886</v>
      </c>
      <c r="T33" s="2">
        <f t="shared" si="21"/>
        <v>0.5009855755470335</v>
      </c>
      <c r="U33">
        <f t="shared" si="22"/>
        <v>4.698899767210256</v>
      </c>
      <c r="V33">
        <f t="shared" si="0"/>
        <v>0.21664613584933762</v>
      </c>
      <c r="W33">
        <f t="shared" si="1"/>
        <v>0.25683727639599296</v>
      </c>
      <c r="X33">
        <f t="shared" si="2"/>
        <v>0.013376985719079082</v>
      </c>
      <c r="Y33">
        <f t="shared" si="3"/>
        <v>0.025527437120204638</v>
      </c>
      <c r="Z33">
        <f t="shared" si="4"/>
        <v>0.0012867177073717906</v>
      </c>
      <c r="AA33">
        <f t="shared" si="5"/>
        <v>0.03364213564125386</v>
      </c>
      <c r="AB33">
        <f t="shared" si="6"/>
        <v>22.462349518753037</v>
      </c>
      <c r="AC33">
        <f t="shared" si="7"/>
        <v>0.04019114054665552</v>
      </c>
      <c r="AD33">
        <f t="shared" si="23"/>
        <v>0.27023397013492007</v>
      </c>
      <c r="AE33">
        <f t="shared" si="24"/>
        <v>1.342425690209809</v>
      </c>
      <c r="AF33">
        <f t="shared" si="25"/>
        <v>0.5270712465309104</v>
      </c>
      <c r="AG33">
        <f t="shared" si="26"/>
        <v>6.041325457420043</v>
      </c>
      <c r="AH33">
        <f t="shared" si="27"/>
        <v>0.4868801059842578</v>
      </c>
      <c r="AI33" s="8">
        <v>4121700</v>
      </c>
      <c r="AJ33">
        <v>3.30063984613508</v>
      </c>
      <c r="AK33" s="3">
        <f t="shared" si="8"/>
        <v>11.400392476915485</v>
      </c>
      <c r="AL33" s="3">
        <f t="shared" si="9"/>
        <v>0.5256232521758925</v>
      </c>
      <c r="AM33" s="2">
        <f t="shared" si="10"/>
        <v>0.6231343290292669</v>
      </c>
      <c r="AN33" s="3">
        <f t="shared" si="11"/>
        <v>0.0324550203049205</v>
      </c>
      <c r="AO33" s="3">
        <f t="shared" si="12"/>
        <v>0.06193424344373593</v>
      </c>
      <c r="AP33" s="3">
        <f t="shared" si="13"/>
        <v>0.0031218131047184186</v>
      </c>
      <c r="AQ33" s="3">
        <f t="shared" si="14"/>
        <v>0.08162199005569026</v>
      </c>
      <c r="AR33" s="3">
        <f t="shared" si="15"/>
        <v>54.497778874622206</v>
      </c>
      <c r="AS33" s="2">
        <f t="shared" si="28"/>
        <v>0.09751107685337486</v>
      </c>
      <c r="AT33" s="3">
        <f t="shared" si="29"/>
        <v>0.6556371646042168</v>
      </c>
      <c r="AU33" s="3">
        <f t="shared" si="30"/>
        <v>3.256970886308584</v>
      </c>
      <c r="AV33" s="3">
        <f t="shared" si="31"/>
        <v>1.2787714936334775</v>
      </c>
      <c r="AW33" s="3">
        <f t="shared" si="32"/>
        <v>14.657363363224016</v>
      </c>
      <c r="AX33" s="3">
        <f t="shared" si="33"/>
        <v>1.1812604167801095</v>
      </c>
      <c r="AY33" s="2">
        <f t="shared" si="34"/>
        <v>0.9237462851347258</v>
      </c>
      <c r="AZ33" s="5" t="s">
        <v>271</v>
      </c>
      <c r="BA33">
        <v>0.064442546133775</v>
      </c>
      <c r="BB33">
        <v>-0.041363805581155</v>
      </c>
      <c r="BC33">
        <v>0.152746649973521</v>
      </c>
      <c r="BD33">
        <v>0.046976675608357</v>
      </c>
      <c r="BE33">
        <v>0.825224067643331</v>
      </c>
      <c r="BF33">
        <v>0.663113125271216</v>
      </c>
      <c r="BG33">
        <v>1</v>
      </c>
      <c r="BH33">
        <v>0.546765105915587</v>
      </c>
      <c r="BI33">
        <v>0.185828261065661</v>
      </c>
    </row>
    <row r="34" spans="1:61" ht="26.25">
      <c r="A34" s="1" t="s">
        <v>191</v>
      </c>
      <c r="B34">
        <v>720.683765726131</v>
      </c>
      <c r="C34">
        <v>15.7511143894995</v>
      </c>
      <c r="D34">
        <v>96.1604584922661</v>
      </c>
      <c r="E34">
        <v>68.9392314545041</v>
      </c>
      <c r="F34">
        <v>12.0426099162405</v>
      </c>
      <c r="G34">
        <v>0.564659442861064</v>
      </c>
      <c r="H34">
        <v>7.16045184464732</v>
      </c>
      <c r="I34">
        <v>5217.34652158108</v>
      </c>
      <c r="J34">
        <v>81.54650081360565</v>
      </c>
      <c r="K34">
        <v>32.8581962792329</v>
      </c>
      <c r="L34">
        <v>338.535931491515</v>
      </c>
      <c r="M34">
        <v>129.018654771499</v>
      </c>
      <c r="N34">
        <v>1059.21969721764</v>
      </c>
      <c r="O34">
        <f t="shared" si="16"/>
        <v>48.6093106687324</v>
      </c>
      <c r="P34" s="3">
        <f t="shared" si="17"/>
        <v>53.35684153909501</v>
      </c>
      <c r="Q34" s="2">
        <f t="shared" si="18"/>
        <v>16.3800325377674</v>
      </c>
      <c r="R34" s="2">
        <f t="shared" si="19"/>
        <v>71.69187058321761</v>
      </c>
      <c r="S34" s="2">
        <f t="shared" si="20"/>
        <v>12.52345309606552</v>
      </c>
      <c r="T34" s="2">
        <f t="shared" si="21"/>
        <v>0.587205439444195</v>
      </c>
      <c r="U34">
        <f t="shared" si="22"/>
        <v>963.9925573305707</v>
      </c>
      <c r="V34">
        <f t="shared" si="0"/>
        <v>21.068820699521723</v>
      </c>
      <c r="W34">
        <f t="shared" si="1"/>
        <v>128.62502349090818</v>
      </c>
      <c r="X34">
        <f t="shared" si="2"/>
        <v>92.21368537873515</v>
      </c>
      <c r="Y34">
        <f t="shared" si="3"/>
        <v>16.108294486687143</v>
      </c>
      <c r="Z34">
        <f t="shared" si="4"/>
        <v>0.7552931344249867</v>
      </c>
      <c r="AA34">
        <f t="shared" si="5"/>
        <v>9.577879527241988</v>
      </c>
      <c r="AB34">
        <f t="shared" si="6"/>
        <v>6978.765798548554</v>
      </c>
      <c r="AC34">
        <f t="shared" si="7"/>
        <v>109.07727299984725</v>
      </c>
      <c r="AD34">
        <f t="shared" si="23"/>
        <v>43.95139472660812</v>
      </c>
      <c r="AE34">
        <f t="shared" si="24"/>
        <v>452.82845801026133</v>
      </c>
      <c r="AF34">
        <f t="shared" si="25"/>
        <v>172.57641821751633</v>
      </c>
      <c r="AG34">
        <f t="shared" si="26"/>
        <v>1416.8210153408238</v>
      </c>
      <c r="AH34">
        <f t="shared" si="27"/>
        <v>65.02021542612985</v>
      </c>
      <c r="AI34" s="234">
        <f>AI27</f>
        <v>334707435</v>
      </c>
      <c r="AJ34">
        <v>1495.7069296563</v>
      </c>
      <c r="AK34" s="3">
        <f t="shared" si="8"/>
        <v>28.801050007466095</v>
      </c>
      <c r="AL34" s="3">
        <f t="shared" si="9"/>
        <v>0.6294697546686324</v>
      </c>
      <c r="AM34" s="3">
        <f t="shared" si="10"/>
        <v>3.8429090614885264</v>
      </c>
      <c r="AN34" s="3">
        <f t="shared" si="11"/>
        <v>2.7550533909930968</v>
      </c>
      <c r="AO34" s="3">
        <f t="shared" si="12"/>
        <v>0.4812649138399672</v>
      </c>
      <c r="AP34" s="3">
        <f t="shared" si="13"/>
        <v>0.022565771041954497</v>
      </c>
      <c r="AQ34" s="3">
        <f t="shared" si="14"/>
        <v>0.2861567603731895</v>
      </c>
      <c r="AR34" s="3">
        <f t="shared" si="15"/>
        <v>208.50345910447297</v>
      </c>
      <c r="AS34" s="3">
        <f t="shared" si="28"/>
        <v>3.258884075875018</v>
      </c>
      <c r="AT34" s="3">
        <f t="shared" si="29"/>
        <v>1.3131287246908072</v>
      </c>
      <c r="AU34" s="3">
        <f t="shared" si="30"/>
        <v>13.529082734904332</v>
      </c>
      <c r="AV34" s="3">
        <f t="shared" si="31"/>
        <v>5.1560377861793345</v>
      </c>
      <c r="AW34" s="3">
        <f t="shared" si="32"/>
        <v>42.33013274237018</v>
      </c>
      <c r="AX34" s="3">
        <f t="shared" si="33"/>
        <v>1.9425984793594397</v>
      </c>
      <c r="AY34" s="2">
        <f t="shared" si="34"/>
        <v>0.37676187799991295</v>
      </c>
      <c r="AZ34" s="5" t="s">
        <v>272</v>
      </c>
      <c r="BA34">
        <v>0.188285607628338</v>
      </c>
      <c r="BB34">
        <v>0.083390375997345</v>
      </c>
      <c r="BC34">
        <v>0.289627495041834</v>
      </c>
      <c r="BD34">
        <v>0.278028148218998</v>
      </c>
      <c r="BE34">
        <v>0.168913537185303</v>
      </c>
      <c r="BF34">
        <v>0.265319675962425</v>
      </c>
      <c r="BG34">
        <v>0.546765105915587</v>
      </c>
      <c r="BH34">
        <v>1</v>
      </c>
      <c r="BI34">
        <v>0.303153554078916</v>
      </c>
    </row>
    <row r="35" spans="1:61" ht="12.75">
      <c r="A35" s="1" t="s">
        <v>198</v>
      </c>
      <c r="B35">
        <v>2595.69024784099</v>
      </c>
      <c r="C35">
        <v>15.4641858243716</v>
      </c>
      <c r="D35">
        <v>280.694532425733</v>
      </c>
      <c r="E35">
        <v>255.721424913188</v>
      </c>
      <c r="F35">
        <v>8.98982068198538</v>
      </c>
      <c r="G35">
        <v>0.838991964146526</v>
      </c>
      <c r="H35">
        <v>20.4456721680919</v>
      </c>
      <c r="I35">
        <v>6778.68421014755</v>
      </c>
      <c r="J35">
        <v>265.55023755931995</v>
      </c>
      <c r="K35">
        <v>73.4627464270154</v>
      </c>
      <c r="L35">
        <v>425.307341155452</v>
      </c>
      <c r="M35">
        <v>354.157278852749</v>
      </c>
      <c r="N35">
        <v>3020.99758899645</v>
      </c>
      <c r="O35">
        <f t="shared" si="16"/>
        <v>88.926932251387</v>
      </c>
      <c r="P35" s="3">
        <f t="shared" si="17"/>
        <v>195.74129879284072</v>
      </c>
      <c r="Q35" s="2">
        <f t="shared" si="18"/>
        <v>5.5092579434062054</v>
      </c>
      <c r="R35" s="2">
        <f t="shared" si="19"/>
        <v>91.10310154717658</v>
      </c>
      <c r="S35" s="2">
        <f t="shared" si="20"/>
        <v>3.2027060179249967</v>
      </c>
      <c r="T35" s="2">
        <f t="shared" si="21"/>
        <v>0.29889857735953906</v>
      </c>
      <c r="U35">
        <f t="shared" si="22"/>
        <v>28.7848217268355</v>
      </c>
      <c r="V35">
        <f t="shared" si="0"/>
        <v>0.17148958065217562</v>
      </c>
      <c r="W35">
        <f t="shared" si="1"/>
        <v>3.1127527956360104</v>
      </c>
      <c r="X35">
        <f t="shared" si="2"/>
        <v>2.8358143403208524</v>
      </c>
      <c r="Y35">
        <f t="shared" si="3"/>
        <v>0.09969232110896306</v>
      </c>
      <c r="Z35">
        <f t="shared" si="4"/>
        <v>0.009303973822875313</v>
      </c>
      <c r="AA35">
        <f t="shared" si="5"/>
        <v>0.2267316098033513</v>
      </c>
      <c r="AB35">
        <f t="shared" si="6"/>
        <v>75.1719958473123</v>
      </c>
      <c r="AC35">
        <f t="shared" si="7"/>
        <v>2.9448106352526913</v>
      </c>
      <c r="AD35">
        <f t="shared" si="23"/>
        <v>0.8146627130198701</v>
      </c>
      <c r="AE35">
        <f t="shared" si="24"/>
        <v>4.716431787058149</v>
      </c>
      <c r="AF35">
        <f t="shared" si="25"/>
        <v>3.927415508655887</v>
      </c>
      <c r="AG35">
        <f t="shared" si="26"/>
        <v>33.50125351389374</v>
      </c>
      <c r="AH35">
        <f t="shared" si="27"/>
        <v>0.9861522936720456</v>
      </c>
      <c r="AI35" s="8">
        <v>15484831.4561</v>
      </c>
      <c r="AJ35">
        <v>12.4001872321347</v>
      </c>
      <c r="AK35" s="3">
        <f t="shared" si="8"/>
        <v>18.589044258209334</v>
      </c>
      <c r="AL35" s="3">
        <f t="shared" si="9"/>
        <v>0.11074681770890057</v>
      </c>
      <c r="AM35" s="3">
        <f t="shared" si="10"/>
        <v>2.010194818368392</v>
      </c>
      <c r="AN35" s="3">
        <f t="shared" si="11"/>
        <v>1.8313498266742378</v>
      </c>
      <c r="AO35" s="3">
        <f t="shared" si="12"/>
        <v>0.06438063041990093</v>
      </c>
      <c r="AP35" s="3">
        <f t="shared" si="13"/>
        <v>0.006008443714258293</v>
      </c>
      <c r="AQ35" s="3">
        <f t="shared" si="14"/>
        <v>0.14642174856480858</v>
      </c>
      <c r="AR35" s="3">
        <f t="shared" si="15"/>
        <v>48.545569294975756</v>
      </c>
      <c r="AS35" s="3">
        <f t="shared" si="28"/>
        <v>1.9017389008083974</v>
      </c>
      <c r="AT35" s="3">
        <f t="shared" si="29"/>
        <v>0.5261037004693693</v>
      </c>
      <c r="AU35" s="3">
        <f t="shared" si="30"/>
        <v>3.045839924334589</v>
      </c>
      <c r="AV35" s="3">
        <f t="shared" si="31"/>
        <v>2.5362985188377656</v>
      </c>
      <c r="AW35" s="3">
        <f t="shared" si="32"/>
        <v>21.63488418254398</v>
      </c>
      <c r="AX35" s="3">
        <f t="shared" si="33"/>
        <v>0.6368505181782698</v>
      </c>
      <c r="AY35" s="2">
        <f t="shared" si="34"/>
        <v>0.25109446441269084</v>
      </c>
      <c r="AZ35" s="5" t="s">
        <v>644</v>
      </c>
      <c r="BA35">
        <v>0.664994952998518</v>
      </c>
      <c r="BB35">
        <v>0.32174115311071</v>
      </c>
      <c r="BC35">
        <v>0.974404259774425</v>
      </c>
      <c r="BD35">
        <v>0.985647810115205</v>
      </c>
      <c r="BE35">
        <v>0.15923577274929</v>
      </c>
      <c r="BF35">
        <v>0.507896038965841</v>
      </c>
      <c r="BG35">
        <v>0.185828261065661</v>
      </c>
      <c r="BH35">
        <v>0.303153554078916</v>
      </c>
      <c r="BI35">
        <v>1</v>
      </c>
    </row>
    <row r="36" spans="1:61" ht="26.25">
      <c r="A36" s="1" t="s">
        <v>199</v>
      </c>
      <c r="B36">
        <v>1899.55375274484</v>
      </c>
      <c r="C36">
        <v>62.0555918497214</v>
      </c>
      <c r="D36">
        <v>263.321908633934</v>
      </c>
      <c r="E36">
        <v>177.720073478391</v>
      </c>
      <c r="F36">
        <v>21.7673268800579</v>
      </c>
      <c r="G36">
        <v>1.43323685183044</v>
      </c>
      <c r="H36">
        <v>10.2896351840756</v>
      </c>
      <c r="I36">
        <v>7545.6781868764</v>
      </c>
      <c r="J36">
        <v>200.92063721027932</v>
      </c>
      <c r="K36">
        <v>28.2837504882841</v>
      </c>
      <c r="L36">
        <v>326.309891397284</v>
      </c>
      <c r="M36">
        <v>291.605659122218</v>
      </c>
      <c r="N36">
        <v>2225.86364414213</v>
      </c>
      <c r="O36">
        <f t="shared" si="16"/>
        <v>90.33934233800551</v>
      </c>
      <c r="P36" s="3">
        <f t="shared" si="17"/>
        <v>35.696638851906954</v>
      </c>
      <c r="Q36" s="2">
        <f t="shared" si="18"/>
        <v>23.5664370548028</v>
      </c>
      <c r="R36" s="2">
        <f t="shared" si="19"/>
        <v>67.49156361518503</v>
      </c>
      <c r="S36" s="2">
        <f t="shared" si="20"/>
        <v>8.266432137372396</v>
      </c>
      <c r="T36" s="2">
        <f t="shared" si="21"/>
        <v>0.5442907729424457</v>
      </c>
      <c r="U36">
        <f t="shared" si="22"/>
        <v>6.521334309809324</v>
      </c>
      <c r="V36">
        <f t="shared" si="0"/>
        <v>0.2130422788301437</v>
      </c>
      <c r="W36">
        <f t="shared" si="1"/>
        <v>0.9040071621124675</v>
      </c>
      <c r="X36">
        <f t="shared" si="2"/>
        <v>0.6101285689029647</v>
      </c>
      <c r="Y36">
        <f t="shared" si="3"/>
        <v>0.07472913857301318</v>
      </c>
      <c r="Z36">
        <f t="shared" si="4"/>
        <v>0.004920427570117017</v>
      </c>
      <c r="AA36">
        <f t="shared" si="5"/>
        <v>0.03532521828580598</v>
      </c>
      <c r="AB36">
        <f t="shared" si="6"/>
        <v>25.904973723303108</v>
      </c>
      <c r="AC36">
        <f t="shared" si="7"/>
        <v>0.6897781350460949</v>
      </c>
      <c r="AD36">
        <f t="shared" si="23"/>
        <v>0.09710059123244486</v>
      </c>
      <c r="AE36">
        <f t="shared" si="24"/>
        <v>1.1202504205655432</v>
      </c>
      <c r="AF36">
        <f t="shared" si="25"/>
        <v>1.001107753344912</v>
      </c>
      <c r="AG36">
        <f t="shared" si="26"/>
        <v>7.641584730374888</v>
      </c>
      <c r="AH36">
        <f t="shared" si="27"/>
        <v>0.31014287006258867</v>
      </c>
      <c r="AI36" s="8">
        <v>4793808.49801</v>
      </c>
      <c r="AJ36">
        <v>3.83886147542829</v>
      </c>
      <c r="AK36" s="3">
        <f t="shared" si="8"/>
        <v>13.60366045601624</v>
      </c>
      <c r="AL36" s="3">
        <f t="shared" si="9"/>
        <v>0.4444113253972944</v>
      </c>
      <c r="AM36" s="3">
        <f t="shared" si="10"/>
        <v>1.8857807158707691</v>
      </c>
      <c r="AN36" s="3">
        <f t="shared" si="11"/>
        <v>1.2727428914948116</v>
      </c>
      <c r="AO36" s="3">
        <f t="shared" si="12"/>
        <v>0.15588678313711246</v>
      </c>
      <c r="AP36" s="3">
        <f t="shared" si="13"/>
        <v>0.010264130434412594</v>
      </c>
      <c r="AQ36" s="3">
        <f t="shared" si="14"/>
        <v>0.0736892562572538</v>
      </c>
      <c r="AR36" s="3">
        <f t="shared" si="15"/>
        <v>54.03839918523393</v>
      </c>
      <c r="AS36" s="3">
        <f t="shared" si="28"/>
        <v>1.4388938050663367</v>
      </c>
      <c r="AT36" s="3">
        <f t="shared" si="29"/>
        <v>0.20255417226773478</v>
      </c>
      <c r="AU36" s="3">
        <f t="shared" si="30"/>
        <v>2.3368693618666248</v>
      </c>
      <c r="AV36" s="3">
        <f t="shared" si="31"/>
        <v>2.0883348881385033</v>
      </c>
      <c r="AW36" s="3">
        <f t="shared" si="32"/>
        <v>15.940529817882906</v>
      </c>
      <c r="AX36" s="3">
        <f t="shared" si="33"/>
        <v>0.6469654976650293</v>
      </c>
      <c r="AY36" s="2">
        <f t="shared" si="34"/>
        <v>0.30979968842148703</v>
      </c>
      <c r="AZ36" s="162" t="s">
        <v>709</v>
      </c>
      <c r="BA36" s="5" t="s">
        <v>265</v>
      </c>
      <c r="BB36" s="5" t="s">
        <v>266</v>
      </c>
      <c r="BC36" s="5" t="s">
        <v>267</v>
      </c>
      <c r="BD36" s="5" t="s">
        <v>268</v>
      </c>
      <c r="BE36" s="5" t="s">
        <v>269</v>
      </c>
      <c r="BF36" s="5" t="s">
        <v>270</v>
      </c>
      <c r="BG36" s="5" t="s">
        <v>271</v>
      </c>
      <c r="BH36" s="5" t="s">
        <v>272</v>
      </c>
      <c r="BI36" s="5" t="s">
        <v>644</v>
      </c>
    </row>
    <row r="37" spans="1:61" ht="26.25">
      <c r="A37" s="1" t="s">
        <v>200</v>
      </c>
      <c r="B37">
        <v>1681.88130756046</v>
      </c>
      <c r="C37">
        <v>55.6954197560669</v>
      </c>
      <c r="D37">
        <v>208.227535484058</v>
      </c>
      <c r="E37">
        <v>139.340816052755</v>
      </c>
      <c r="F37">
        <v>12.7201701321339</v>
      </c>
      <c r="G37">
        <v>0.660815153392861</v>
      </c>
      <c r="H37">
        <v>6.47068359075246</v>
      </c>
      <c r="I37">
        <v>4889.04129370768</v>
      </c>
      <c r="J37">
        <v>152.72180133828175</v>
      </c>
      <c r="K37">
        <v>40.7395422267897</v>
      </c>
      <c r="L37">
        <v>347.915536493297</v>
      </c>
      <c r="M37">
        <v>248.967077710848</v>
      </c>
      <c r="N37">
        <v>2029.79684405376</v>
      </c>
      <c r="O37">
        <f t="shared" si="16"/>
        <v>96.4349619828566</v>
      </c>
      <c r="P37" s="3">
        <f t="shared" si="17"/>
        <v>35.21539161492536</v>
      </c>
      <c r="Q37" s="2">
        <f t="shared" si="18"/>
        <v>26.74738459858061</v>
      </c>
      <c r="R37" s="2">
        <f t="shared" si="19"/>
        <v>66.91757443550159</v>
      </c>
      <c r="S37" s="2">
        <f t="shared" si="20"/>
        <v>6.108783885168618</v>
      </c>
      <c r="T37" s="2">
        <f t="shared" si="21"/>
        <v>0.31735243461278606</v>
      </c>
      <c r="U37">
        <f t="shared" si="22"/>
        <v>146.91107825712362</v>
      </c>
      <c r="V37">
        <f t="shared" si="0"/>
        <v>4.864953390923371</v>
      </c>
      <c r="W37">
        <f t="shared" si="1"/>
        <v>18.18851997657198</v>
      </c>
      <c r="X37">
        <f t="shared" si="2"/>
        <v>12.171316394038628</v>
      </c>
      <c r="Y37">
        <f t="shared" si="3"/>
        <v>1.1110973772795039</v>
      </c>
      <c r="Z37">
        <f t="shared" si="4"/>
        <v>0.05772171096568411</v>
      </c>
      <c r="AA37">
        <f t="shared" si="5"/>
        <v>0.5652093873122181</v>
      </c>
      <c r="AB37">
        <f t="shared" si="6"/>
        <v>427.05411188855726</v>
      </c>
      <c r="AC37">
        <f t="shared" si="7"/>
        <v>13.340135482283817</v>
      </c>
      <c r="AD37">
        <f t="shared" si="23"/>
        <v>3.558568639377153</v>
      </c>
      <c r="AE37">
        <f t="shared" si="24"/>
        <v>30.390162717709206</v>
      </c>
      <c r="AF37">
        <f t="shared" si="25"/>
        <v>21.74708861594916</v>
      </c>
      <c r="AG37">
        <f t="shared" si="26"/>
        <v>177.30124097483306</v>
      </c>
      <c r="AH37">
        <f t="shared" si="27"/>
        <v>8.423522030300525</v>
      </c>
      <c r="AI37" s="8">
        <v>119344935.82157245</v>
      </c>
      <c r="AJ37">
        <v>97.673503621982</v>
      </c>
      <c r="AK37" s="3">
        <f t="shared" si="8"/>
        <v>12.30978736096219</v>
      </c>
      <c r="AL37" s="3">
        <f t="shared" si="9"/>
        <v>0.4076380248087573</v>
      </c>
      <c r="AM37" s="3">
        <f t="shared" si="10"/>
        <v>1.5240294740084206</v>
      </c>
      <c r="AN37" s="3">
        <f t="shared" si="11"/>
        <v>1.019843557688568</v>
      </c>
      <c r="AO37" s="3">
        <f t="shared" si="12"/>
        <v>0.09309966691344645</v>
      </c>
      <c r="AP37" s="3">
        <f t="shared" si="13"/>
        <v>0.00483654463998216</v>
      </c>
      <c r="AQ37" s="3">
        <f t="shared" si="14"/>
        <v>0.047359310507924586</v>
      </c>
      <c r="AR37" s="3">
        <f t="shared" si="15"/>
        <v>35.78317830988889</v>
      </c>
      <c r="AS37" s="3">
        <f t="shared" si="28"/>
        <v>1.1177797692419966</v>
      </c>
      <c r="AT37" s="3">
        <f t="shared" si="29"/>
        <v>0.29817508509095164</v>
      </c>
      <c r="AU37" s="3">
        <f t="shared" si="30"/>
        <v>2.5464140986379387</v>
      </c>
      <c r="AV37" s="3">
        <f t="shared" si="31"/>
        <v>1.8222045590993747</v>
      </c>
      <c r="AW37" s="3">
        <f t="shared" si="32"/>
        <v>14.856201459600147</v>
      </c>
      <c r="AX37" s="3">
        <f t="shared" si="33"/>
        <v>0.705813109899709</v>
      </c>
      <c r="AY37" s="2">
        <f t="shared" si="34"/>
        <v>0.38734021730719265</v>
      </c>
      <c r="AZ37" s="5" t="s">
        <v>265</v>
      </c>
      <c r="BA37">
        <v>1</v>
      </c>
      <c r="BB37">
        <v>1.03056518E-07</v>
      </c>
      <c r="BC37">
        <v>2.055703E-09</v>
      </c>
      <c r="BD37">
        <v>5.33913262E-07</v>
      </c>
      <c r="BE37">
        <v>0.796161676835242</v>
      </c>
      <c r="BF37">
        <v>0.014601847009224</v>
      </c>
      <c r="BG37">
        <v>0.681400253041856</v>
      </c>
      <c r="BH37">
        <v>0.226609234119056</v>
      </c>
      <c r="BI37">
        <v>1.149862782E-06</v>
      </c>
    </row>
    <row r="38" spans="1:61" ht="26.25">
      <c r="A38" s="1" t="s">
        <v>201</v>
      </c>
      <c r="B38">
        <v>10531.9112028392</v>
      </c>
      <c r="C38">
        <v>281.522862621009</v>
      </c>
      <c r="D38">
        <v>1004.14385054054</v>
      </c>
      <c r="E38">
        <v>707.03138014193</v>
      </c>
      <c r="F38">
        <v>14.6234350088504</v>
      </c>
      <c r="G38">
        <v>2.65207595213707</v>
      </c>
      <c r="H38">
        <v>17.4670317486217</v>
      </c>
      <c r="I38">
        <v>7127.52531906913</v>
      </c>
      <c r="J38">
        <v>724.3068911029175</v>
      </c>
      <c r="K38">
        <v>63.5611064230229</v>
      </c>
      <c r="L38">
        <v>572.093066415064</v>
      </c>
      <c r="M38">
        <v>1067.70495696356</v>
      </c>
      <c r="N38">
        <v>11104.0042692542</v>
      </c>
      <c r="O38">
        <f t="shared" si="16"/>
        <v>345.0839690440319</v>
      </c>
      <c r="P38" s="3">
        <f t="shared" si="17"/>
        <v>43.6264805470494</v>
      </c>
      <c r="Q38" s="2">
        <f t="shared" si="18"/>
        <v>28.036108817423177</v>
      </c>
      <c r="R38" s="2">
        <f t="shared" si="19"/>
        <v>70.41136384605934</v>
      </c>
      <c r="S38" s="2">
        <f t="shared" si="20"/>
        <v>1.4563087749806434</v>
      </c>
      <c r="T38" s="2">
        <f t="shared" si="21"/>
        <v>0.2641131497951646</v>
      </c>
      <c r="U38">
        <f t="shared" si="22"/>
        <v>103.94518354397412</v>
      </c>
      <c r="V38">
        <f t="shared" si="0"/>
        <v>2.77850288170651</v>
      </c>
      <c r="W38">
        <f t="shared" si="1"/>
        <v>9.910444062693163</v>
      </c>
      <c r="X38">
        <f t="shared" si="2"/>
        <v>6.978078827743068</v>
      </c>
      <c r="Y38">
        <f t="shared" si="3"/>
        <v>0.14432666652454867</v>
      </c>
      <c r="Z38">
        <f t="shared" si="4"/>
        <v>0.026174785972666786</v>
      </c>
      <c r="AA38">
        <f t="shared" si="5"/>
        <v>0.17239167574727096</v>
      </c>
      <c r="AB38">
        <f t="shared" si="6"/>
        <v>70.34543999053453</v>
      </c>
      <c r="AC38">
        <f t="shared" si="7"/>
        <v>7.148580280240284</v>
      </c>
      <c r="AD38">
        <f t="shared" si="23"/>
        <v>0.6273192724619728</v>
      </c>
      <c r="AE38">
        <f t="shared" si="24"/>
        <v>5.646298914551978</v>
      </c>
      <c r="AF38">
        <f t="shared" si="25"/>
        <v>10.537763335155109</v>
      </c>
      <c r="AG38">
        <f t="shared" si="26"/>
        <v>109.59148245852545</v>
      </c>
      <c r="AH38">
        <f t="shared" si="27"/>
        <v>3.4058221541684834</v>
      </c>
      <c r="AI38" s="8">
        <v>29886463.3724</v>
      </c>
      <c r="AJ38">
        <v>11.0360776035554</v>
      </c>
      <c r="AK38" s="3">
        <f t="shared" si="8"/>
        <v>34.780021392550246</v>
      </c>
      <c r="AL38" s="3">
        <f t="shared" si="9"/>
        <v>0.9296860746234844</v>
      </c>
      <c r="AM38" s="3">
        <f t="shared" si="10"/>
        <v>3.3160310536593665</v>
      </c>
      <c r="AN38" s="3">
        <f t="shared" si="11"/>
        <v>2.3348626904404113</v>
      </c>
      <c r="AO38" s="3">
        <f t="shared" si="12"/>
        <v>0.04829165121552443</v>
      </c>
      <c r="AP38" s="3">
        <f t="shared" si="13"/>
        <v>0.008758074064005536</v>
      </c>
      <c r="AQ38" s="3">
        <f t="shared" si="14"/>
        <v>0.057682193305773954</v>
      </c>
      <c r="AR38" s="3">
        <f t="shared" si="15"/>
        <v>23.537559166501513</v>
      </c>
      <c r="AS38" s="3">
        <f t="shared" si="28"/>
        <v>2.391912415719942</v>
      </c>
      <c r="AT38" s="3">
        <f t="shared" si="29"/>
        <v>0.20990080513885728</v>
      </c>
      <c r="AU38" s="3">
        <f t="shared" si="30"/>
        <v>1.8892496058152892</v>
      </c>
      <c r="AV38" s="3">
        <f t="shared" si="31"/>
        <v>3.5259318587982147</v>
      </c>
      <c r="AW38" s="3">
        <f t="shared" si="32"/>
        <v>36.66927099836531</v>
      </c>
      <c r="AX38" s="3">
        <f t="shared" si="33"/>
        <v>1.1395868797623419</v>
      </c>
      <c r="AY38" s="2">
        <f t="shared" si="34"/>
        <v>0.3232016174444054</v>
      </c>
      <c r="AZ38" s="5" t="s">
        <v>266</v>
      </c>
      <c r="BA38">
        <v>1.03056518E-07</v>
      </c>
      <c r="BB38">
        <v>1</v>
      </c>
      <c r="BC38">
        <v>0.00029133680961</v>
      </c>
      <c r="BD38">
        <v>0.031731165933226</v>
      </c>
      <c r="BE38">
        <v>0.914893315048649</v>
      </c>
      <c r="BF38">
        <v>0.10076863536954</v>
      </c>
      <c r="BG38">
        <v>0.792272646485546</v>
      </c>
      <c r="BH38">
        <v>0.594974415945114</v>
      </c>
      <c r="BI38">
        <v>0.035384436894303</v>
      </c>
    </row>
    <row r="39" spans="1:61" ht="26.25">
      <c r="A39" s="1" t="s">
        <v>202</v>
      </c>
      <c r="B39">
        <v>1079.58412905525</v>
      </c>
      <c r="C39">
        <v>25.013879384773</v>
      </c>
      <c r="D39">
        <v>273.46778967894</v>
      </c>
      <c r="E39">
        <v>244.88346220163</v>
      </c>
      <c r="F39">
        <v>3.03682866435698</v>
      </c>
      <c r="G39">
        <v>0.286702610518433</v>
      </c>
      <c r="H39">
        <v>12.4981575487638</v>
      </c>
      <c r="I39">
        <v>8029.37339401955</v>
      </c>
      <c r="J39">
        <v>248.20699347650543</v>
      </c>
      <c r="K39">
        <v>24.2985282753803</v>
      </c>
      <c r="L39">
        <v>346.185022837965</v>
      </c>
      <c r="M39">
        <v>297.76631795432</v>
      </c>
      <c r="N39">
        <v>1425.76915189321</v>
      </c>
      <c r="O39">
        <f t="shared" si="16"/>
        <v>49.3124076601533</v>
      </c>
      <c r="P39" s="3">
        <f t="shared" si="17"/>
        <v>50.33059909514462</v>
      </c>
      <c r="Q39" s="2">
        <f t="shared" si="18"/>
        <v>9.146919794152028</v>
      </c>
      <c r="R39" s="2">
        <f t="shared" si="19"/>
        <v>89.54746096025828</v>
      </c>
      <c r="S39" s="2">
        <f t="shared" si="20"/>
        <v>1.1104886129084213</v>
      </c>
      <c r="T39" s="2">
        <f t="shared" si="21"/>
        <v>0.1048396269465706</v>
      </c>
      <c r="U39">
        <f t="shared" si="22"/>
        <v>1.8072213037992564</v>
      </c>
      <c r="V39">
        <f t="shared" si="0"/>
        <v>0.04187317551100579</v>
      </c>
      <c r="W39">
        <f t="shared" si="1"/>
        <v>0.4577844394981674</v>
      </c>
      <c r="X39">
        <f t="shared" si="2"/>
        <v>0.4099343422417586</v>
      </c>
      <c r="Y39">
        <f t="shared" si="3"/>
        <v>0.00508364407229379</v>
      </c>
      <c r="Z39">
        <f t="shared" si="4"/>
        <v>0.00047993949858932784</v>
      </c>
      <c r="AA39">
        <f t="shared" si="5"/>
        <v>0.02092188646764508</v>
      </c>
      <c r="AB39">
        <f t="shared" si="6"/>
        <v>13.441152257888048</v>
      </c>
      <c r="AC39">
        <f t="shared" si="7"/>
        <v>0.4154979258126417</v>
      </c>
      <c r="AD39">
        <f t="shared" si="23"/>
        <v>0.04067567942913743</v>
      </c>
      <c r="AE39">
        <f t="shared" si="24"/>
        <v>0.579512917512503</v>
      </c>
      <c r="AF39">
        <f t="shared" si="25"/>
        <v>0.49846011892730435</v>
      </c>
      <c r="AG39">
        <f t="shared" si="26"/>
        <v>2.3867342213117513</v>
      </c>
      <c r="AH39">
        <f t="shared" si="27"/>
        <v>0.0825488549401432</v>
      </c>
      <c r="AI39" s="8">
        <v>2337494.78229</v>
      </c>
      <c r="AJ39">
        <v>1.87185588921057</v>
      </c>
      <c r="AK39" s="3">
        <f t="shared" si="8"/>
        <v>7.731445295585881</v>
      </c>
      <c r="AL39" s="3">
        <f t="shared" si="9"/>
        <v>0.17913697959138725</v>
      </c>
      <c r="AM39" s="3">
        <f t="shared" si="10"/>
        <v>1.95844047638765</v>
      </c>
      <c r="AN39" s="3">
        <f t="shared" si="11"/>
        <v>1.753733721023127</v>
      </c>
      <c r="AO39" s="3">
        <f t="shared" si="12"/>
        <v>0.02174825848087429</v>
      </c>
      <c r="AP39" s="3">
        <f t="shared" si="13"/>
        <v>0.0020532216894154523</v>
      </c>
      <c r="AQ39" s="3">
        <f t="shared" si="14"/>
        <v>0.08950559644521773</v>
      </c>
      <c r="AR39" s="3">
        <f t="shared" si="15"/>
        <v>57.50238400412599</v>
      </c>
      <c r="AS39" s="3">
        <f t="shared" si="28"/>
        <v>1.7775352011934167</v>
      </c>
      <c r="AT39" s="3">
        <f t="shared" si="29"/>
        <v>0.17401399026563058</v>
      </c>
      <c r="AU39" s="3">
        <f t="shared" si="30"/>
        <v>2.479205181133132</v>
      </c>
      <c r="AV39" s="3">
        <f t="shared" si="31"/>
        <v>2.1324544666532783</v>
      </c>
      <c r="AW39" s="3">
        <f t="shared" si="32"/>
        <v>10.210650476718978</v>
      </c>
      <c r="AX39" s="3">
        <f t="shared" si="33"/>
        <v>0.3531509698570177</v>
      </c>
      <c r="AY39" s="2">
        <f t="shared" si="34"/>
        <v>0.16560774233611691</v>
      </c>
      <c r="AZ39" s="5" t="s">
        <v>267</v>
      </c>
      <c r="BA39">
        <v>2.055703E-09</v>
      </c>
      <c r="BB39">
        <v>0.00029133680961</v>
      </c>
      <c r="BC39">
        <v>1</v>
      </c>
      <c r="BD39">
        <v>0</v>
      </c>
      <c r="BE39">
        <v>0.388031394169863</v>
      </c>
      <c r="BF39">
        <v>0.000447398982556</v>
      </c>
      <c r="BG39">
        <v>0.328140781120566</v>
      </c>
      <c r="BH39">
        <v>0.059585249846309</v>
      </c>
      <c r="BI39">
        <v>0</v>
      </c>
    </row>
    <row r="40" spans="1:61" ht="26.25">
      <c r="A40" s="1" t="s">
        <v>203</v>
      </c>
      <c r="B40">
        <v>8634.03157784317</v>
      </c>
      <c r="C40">
        <v>153.778370093798</v>
      </c>
      <c r="D40">
        <v>542.55231639823</v>
      </c>
      <c r="E40">
        <v>364.374369172949</v>
      </c>
      <c r="F40">
        <v>23.6379968359245</v>
      </c>
      <c r="G40">
        <v>1.99888772558124</v>
      </c>
      <c r="H40">
        <v>28.1003669305833</v>
      </c>
      <c r="I40">
        <v>8358.25861279288</v>
      </c>
      <c r="J40">
        <v>390.0112537344548</v>
      </c>
      <c r="K40">
        <v>54.0912781537475</v>
      </c>
      <c r="L40">
        <v>574.932393092853</v>
      </c>
      <c r="M40">
        <v>596.643594551977</v>
      </c>
      <c r="N40">
        <v>9208.96397093602</v>
      </c>
      <c r="O40">
        <f t="shared" si="16"/>
        <v>207.8696482475455</v>
      </c>
      <c r="P40" s="3">
        <f t="shared" si="17"/>
        <v>65.47492945010065</v>
      </c>
      <c r="Q40" s="2">
        <f t="shared" si="18"/>
        <v>28.343510007415695</v>
      </c>
      <c r="R40" s="2">
        <f t="shared" si="19"/>
        <v>67.1593057775281</v>
      </c>
      <c r="S40" s="2">
        <f t="shared" si="20"/>
        <v>4.356814287117403</v>
      </c>
      <c r="T40" s="2">
        <f t="shared" si="21"/>
        <v>0.36842303777283464</v>
      </c>
      <c r="U40">
        <f t="shared" si="22"/>
        <v>122.67148134074948</v>
      </c>
      <c r="V40">
        <f t="shared" si="0"/>
        <v>2.1848681334432407</v>
      </c>
      <c r="W40">
        <f t="shared" si="1"/>
        <v>7.708530569684559</v>
      </c>
      <c r="X40">
        <f t="shared" si="2"/>
        <v>5.17699561624868</v>
      </c>
      <c r="Y40">
        <f t="shared" si="3"/>
        <v>0.3358463611868293</v>
      </c>
      <c r="Z40">
        <f t="shared" si="4"/>
        <v>0.02840000249247944</v>
      </c>
      <c r="AA40">
        <f t="shared" si="5"/>
        <v>0.3992472817031752</v>
      </c>
      <c r="AB40">
        <f t="shared" si="6"/>
        <v>118.75332586130187</v>
      </c>
      <c r="AC40">
        <f t="shared" si="7"/>
        <v>5.54124197992799</v>
      </c>
      <c r="AD40">
        <f t="shared" si="23"/>
        <v>0.7685236217762712</v>
      </c>
      <c r="AE40">
        <f t="shared" si="24"/>
        <v>8.168583551683115</v>
      </c>
      <c r="AF40">
        <f t="shared" si="25"/>
        <v>8.477054191460821</v>
      </c>
      <c r="AG40">
        <f t="shared" si="26"/>
        <v>130.84006489243254</v>
      </c>
      <c r="AH40">
        <f t="shared" si="27"/>
        <v>2.953391755219512</v>
      </c>
      <c r="AI40" s="8">
        <v>27781253.01</v>
      </c>
      <c r="AJ40">
        <v>15.8872065207956</v>
      </c>
      <c r="AK40" s="3">
        <f t="shared" si="8"/>
        <v>44.15620897178154</v>
      </c>
      <c r="AL40" s="3">
        <f t="shared" si="9"/>
        <v>0.78645413605239</v>
      </c>
      <c r="AM40" s="3">
        <f t="shared" si="10"/>
        <v>2.7747238639343714</v>
      </c>
      <c r="AN40" s="3">
        <f t="shared" si="11"/>
        <v>1.8634852842617269</v>
      </c>
      <c r="AO40" s="3">
        <f t="shared" si="12"/>
        <v>0.12088956573194871</v>
      </c>
      <c r="AP40" s="3">
        <f t="shared" si="13"/>
        <v>0.010222721949314784</v>
      </c>
      <c r="AQ40" s="3">
        <f t="shared" si="14"/>
        <v>0.14371104196036952</v>
      </c>
      <c r="AR40" s="3">
        <f t="shared" si="15"/>
        <v>42.74584944694756</v>
      </c>
      <c r="AS40" s="3">
        <f t="shared" si="28"/>
        <v>1.9945975719429905</v>
      </c>
      <c r="AT40" s="3">
        <f t="shared" si="29"/>
        <v>0.2766338946265805</v>
      </c>
      <c r="AU40" s="3">
        <f t="shared" si="30"/>
        <v>2.9403222197151413</v>
      </c>
      <c r="AV40" s="3">
        <f t="shared" si="31"/>
        <v>3.051357758560949</v>
      </c>
      <c r="AW40" s="3">
        <f t="shared" si="32"/>
        <v>47.09653119149665</v>
      </c>
      <c r="AX40" s="3">
        <f t="shared" si="33"/>
        <v>1.0630880306789705</v>
      </c>
      <c r="AY40" s="2">
        <f t="shared" si="34"/>
        <v>0.348398357320229</v>
      </c>
      <c r="AZ40" s="5" t="s">
        <v>268</v>
      </c>
      <c r="BA40">
        <v>5.33913262E-07</v>
      </c>
      <c r="BB40">
        <v>0.031731165933226</v>
      </c>
      <c r="BC40">
        <v>0</v>
      </c>
      <c r="BD40">
        <v>1</v>
      </c>
      <c r="BE40">
        <v>0.950830970349893</v>
      </c>
      <c r="BF40">
        <v>0.010487660837047</v>
      </c>
      <c r="BG40">
        <v>0.76483734770279</v>
      </c>
      <c r="BH40">
        <v>0.071042265739015</v>
      </c>
      <c r="BI40">
        <v>0</v>
      </c>
    </row>
    <row r="41" spans="1:61" ht="26.25">
      <c r="A41" s="1" t="s">
        <v>204</v>
      </c>
      <c r="B41">
        <v>3623.15121560144</v>
      </c>
      <c r="C41">
        <v>85.2420415963767</v>
      </c>
      <c r="D41">
        <v>509.886275989502</v>
      </c>
      <c r="E41">
        <v>419.791846151155</v>
      </c>
      <c r="F41">
        <v>6.82805061111805</v>
      </c>
      <c r="G41">
        <v>3.03411152622477</v>
      </c>
      <c r="H41">
        <v>12.1375626287295</v>
      </c>
      <c r="I41">
        <v>6981.03870411419</v>
      </c>
      <c r="J41">
        <v>429.65400828849783</v>
      </c>
      <c r="K41">
        <v>89.9652824154429</v>
      </c>
      <c r="L41">
        <v>667.315953477019</v>
      </c>
      <c r="M41">
        <v>599.851558404945</v>
      </c>
      <c r="N41">
        <v>4290.46716907846</v>
      </c>
      <c r="O41">
        <f t="shared" si="16"/>
        <v>175.2073240118196</v>
      </c>
      <c r="P41" s="3">
        <f t="shared" si="17"/>
        <v>49.56661684215093</v>
      </c>
      <c r="Q41" s="2">
        <f t="shared" si="18"/>
        <v>16.71785368824709</v>
      </c>
      <c r="R41" s="2">
        <f t="shared" si="19"/>
        <v>82.33048542765604</v>
      </c>
      <c r="S41" s="2">
        <f t="shared" si="20"/>
        <v>1.3391320638837183</v>
      </c>
      <c r="T41" s="2">
        <f t="shared" si="21"/>
        <v>0.5950565192869084</v>
      </c>
      <c r="U41">
        <f t="shared" si="22"/>
        <v>4.393314990224037</v>
      </c>
      <c r="V41">
        <f t="shared" si="0"/>
        <v>0.10336171935912337</v>
      </c>
      <c r="W41">
        <f t="shared" si="1"/>
        <v>0.6182714676572881</v>
      </c>
      <c r="X41">
        <f t="shared" si="2"/>
        <v>0.509025900582939</v>
      </c>
      <c r="Y41">
        <f t="shared" si="3"/>
        <v>0.008279471465243202</v>
      </c>
      <c r="Z41">
        <f t="shared" si="4"/>
        <v>0.0036790646751855434</v>
      </c>
      <c r="AA41">
        <f t="shared" si="5"/>
        <v>0.014717612561122053</v>
      </c>
      <c r="AB41">
        <f t="shared" si="6"/>
        <v>8.46497983690363</v>
      </c>
      <c r="AC41">
        <f t="shared" si="7"/>
        <v>0.5209844367233675</v>
      </c>
      <c r="AD41">
        <f t="shared" si="23"/>
        <v>0.10908896712164796</v>
      </c>
      <c r="AE41">
        <f t="shared" si="24"/>
        <v>0.8091655598038764</v>
      </c>
      <c r="AF41">
        <f t="shared" si="25"/>
        <v>0.7273604347789362</v>
      </c>
      <c r="AG41">
        <f t="shared" si="26"/>
        <v>5.202480550027916</v>
      </c>
      <c r="AH41">
        <f t="shared" si="27"/>
        <v>0.21245068648077137</v>
      </c>
      <c r="AI41" s="8">
        <v>1693174.37141</v>
      </c>
      <c r="AJ41">
        <v>1.35588684201435</v>
      </c>
      <c r="AK41" s="3">
        <f t="shared" si="8"/>
        <v>25.947209362527033</v>
      </c>
      <c r="AL41" s="3">
        <f t="shared" si="9"/>
        <v>0.6104611616170894</v>
      </c>
      <c r="AM41" s="3">
        <f t="shared" si="10"/>
        <v>3.6515522446894777</v>
      </c>
      <c r="AN41" s="3">
        <f t="shared" si="11"/>
        <v>3.006340688697319</v>
      </c>
      <c r="AO41" s="3">
        <f t="shared" si="12"/>
        <v>0.04889910693810247</v>
      </c>
      <c r="AP41" s="3">
        <f t="shared" si="13"/>
        <v>0.021728799687192185</v>
      </c>
      <c r="AQ41" s="3">
        <f t="shared" si="14"/>
        <v>0.08692319473785728</v>
      </c>
      <c r="AR41" s="3">
        <f t="shared" si="15"/>
        <v>49.99473166992466</v>
      </c>
      <c r="AS41" s="3">
        <f t="shared" si="28"/>
        <v>3.0769685953226125</v>
      </c>
      <c r="AT41" s="3">
        <f t="shared" si="29"/>
        <v>0.644286666297716</v>
      </c>
      <c r="AU41" s="3">
        <f t="shared" si="30"/>
        <v>4.7789853984739885</v>
      </c>
      <c r="AV41" s="3">
        <f t="shared" si="31"/>
        <v>4.295838910987195</v>
      </c>
      <c r="AW41" s="3">
        <f t="shared" si="32"/>
        <v>30.726194761001036</v>
      </c>
      <c r="AX41" s="3">
        <f t="shared" si="33"/>
        <v>1.2547478279148054</v>
      </c>
      <c r="AY41" s="2">
        <f t="shared" si="34"/>
        <v>0.292084469160521</v>
      </c>
      <c r="AZ41" s="5" t="s">
        <v>269</v>
      </c>
      <c r="BA41">
        <v>0.796161676835242</v>
      </c>
      <c r="BB41">
        <v>0.914893315048649</v>
      </c>
      <c r="BC41">
        <v>0.388031394169863</v>
      </c>
      <c r="BD41">
        <v>0.950830970349893</v>
      </c>
      <c r="BE41">
        <v>1</v>
      </c>
      <c r="BF41">
        <v>1.3970854E-08</v>
      </c>
      <c r="BG41">
        <v>9.99E-12</v>
      </c>
      <c r="BH41">
        <v>0.278894995277541</v>
      </c>
      <c r="BI41">
        <v>0.307758770307191</v>
      </c>
    </row>
    <row r="42" spans="1:61" ht="26.25">
      <c r="A42" s="1" t="s">
        <v>205</v>
      </c>
      <c r="B42">
        <v>941.853755905013</v>
      </c>
      <c r="C42">
        <v>33.8096490755449</v>
      </c>
      <c r="D42">
        <v>84.0564678612147</v>
      </c>
      <c r="E42">
        <v>39.0079870013685</v>
      </c>
      <c r="F42">
        <v>10.2308290840161</v>
      </c>
      <c r="G42">
        <v>1.03883635449564</v>
      </c>
      <c r="H42">
        <v>27.7826978562241</v>
      </c>
      <c r="I42">
        <v>8302.71852250662</v>
      </c>
      <c r="J42">
        <v>50.27765243988024</v>
      </c>
      <c r="K42">
        <v>15.1623563053989</v>
      </c>
      <c r="L42">
        <v>179.556552363613</v>
      </c>
      <c r="M42">
        <v>99.2188241666137</v>
      </c>
      <c r="N42">
        <v>1121.41030826862</v>
      </c>
      <c r="O42">
        <f t="shared" si="16"/>
        <v>48.9720053809438</v>
      </c>
      <c r="P42" s="3">
        <f t="shared" si="17"/>
        <v>32.486241675774906</v>
      </c>
      <c r="Q42" s="2">
        <f t="shared" si="18"/>
        <v>40.22254317343892</v>
      </c>
      <c r="R42" s="2">
        <f t="shared" si="19"/>
        <v>46.40688336532821</v>
      </c>
      <c r="S42" s="2">
        <f t="shared" si="20"/>
        <v>12.171376390580892</v>
      </c>
      <c r="T42" s="2">
        <f t="shared" si="21"/>
        <v>1.2358791428291498</v>
      </c>
      <c r="U42">
        <f t="shared" si="22"/>
        <v>1.1188743768775022</v>
      </c>
      <c r="V42">
        <f t="shared" si="0"/>
        <v>0.04016414417278429</v>
      </c>
      <c r="W42">
        <f t="shared" si="1"/>
        <v>0.09985481027292874</v>
      </c>
      <c r="X42">
        <f t="shared" si="2"/>
        <v>0.04633950533802781</v>
      </c>
      <c r="Y42">
        <f t="shared" si="3"/>
        <v>0.012153704802418591</v>
      </c>
      <c r="Z42">
        <f t="shared" si="4"/>
        <v>0.0012340847732747455</v>
      </c>
      <c r="AA42">
        <f t="shared" si="5"/>
        <v>0.033004432542703216</v>
      </c>
      <c r="AB42">
        <f t="shared" si="6"/>
        <v>9.863207483132625</v>
      </c>
      <c r="AC42">
        <f t="shared" si="7"/>
        <v>0.059727294913721155</v>
      </c>
      <c r="AD42">
        <f t="shared" si="23"/>
        <v>0.018012108415808855</v>
      </c>
      <c r="AE42">
        <f t="shared" si="24"/>
        <v>0.2133040553064071</v>
      </c>
      <c r="AF42">
        <f t="shared" si="25"/>
        <v>0.1178669186887377</v>
      </c>
      <c r="AG42">
        <f t="shared" si="26"/>
        <v>1.3321784321839025</v>
      </c>
      <c r="AH42">
        <f t="shared" si="27"/>
        <v>0.058176252588593144</v>
      </c>
      <c r="AI42" s="8">
        <v>1658798.59295</v>
      </c>
      <c r="AJ42">
        <v>1.32835886469262</v>
      </c>
      <c r="AK42" s="3">
        <f t="shared" si="8"/>
        <v>6.745088774687837</v>
      </c>
      <c r="AL42" s="3">
        <f t="shared" si="9"/>
        <v>0.24212791319865154</v>
      </c>
      <c r="AM42" s="3">
        <f t="shared" si="10"/>
        <v>0.6019706714083196</v>
      </c>
      <c r="AN42" s="3">
        <f t="shared" si="11"/>
        <v>0.27935582737394204</v>
      </c>
      <c r="AO42" s="3">
        <f t="shared" si="12"/>
        <v>0.0732681161780135</v>
      </c>
      <c r="AP42" s="3">
        <f t="shared" si="13"/>
        <v>0.007439629973884019</v>
      </c>
      <c r="AQ42" s="3">
        <f t="shared" si="14"/>
        <v>0.19896588219313763</v>
      </c>
      <c r="AR42" s="3">
        <f t="shared" si="15"/>
        <v>59.45994604198416</v>
      </c>
      <c r="AS42" s="3">
        <f t="shared" si="28"/>
        <v>0.36006357352583956</v>
      </c>
      <c r="AT42" s="3">
        <f t="shared" si="29"/>
        <v>0.1085852646147728</v>
      </c>
      <c r="AU42" s="3">
        <f t="shared" si="30"/>
        <v>1.2858948410793387</v>
      </c>
      <c r="AV42" s="3">
        <f t="shared" si="31"/>
        <v>0.7105559360230932</v>
      </c>
      <c r="AW42" s="3">
        <f t="shared" si="32"/>
        <v>8.030983615767134</v>
      </c>
      <c r="AX42" s="3">
        <f t="shared" si="33"/>
        <v>0.35071317781342437</v>
      </c>
      <c r="AY42" s="2">
        <f t="shared" si="34"/>
        <v>0.4935757482744133</v>
      </c>
      <c r="AZ42" s="5" t="s">
        <v>270</v>
      </c>
      <c r="BA42">
        <v>0.014601847009224</v>
      </c>
      <c r="BB42">
        <v>0.10076863536954</v>
      </c>
      <c r="BC42">
        <v>0.000447398982556</v>
      </c>
      <c r="BD42">
        <v>0.010487660837047</v>
      </c>
      <c r="BE42">
        <v>1.3970854E-08</v>
      </c>
      <c r="BF42">
        <v>1</v>
      </c>
      <c r="BG42">
        <v>1.263470684E-06</v>
      </c>
      <c r="BH42">
        <v>0.085519942039258</v>
      </c>
      <c r="BI42">
        <v>0.000507529007115</v>
      </c>
    </row>
    <row r="43" spans="1:61" ht="26.25">
      <c r="A43" s="1" t="s">
        <v>206</v>
      </c>
      <c r="B43">
        <v>2456.24298433933</v>
      </c>
      <c r="C43">
        <v>135.39440813834</v>
      </c>
      <c r="D43">
        <v>511.642699010022</v>
      </c>
      <c r="E43">
        <v>360.264928970414</v>
      </c>
      <c r="F43">
        <v>18.772607275867</v>
      </c>
      <c r="G43">
        <v>1.39929371918086</v>
      </c>
      <c r="H43">
        <v>13.4556738389102</v>
      </c>
      <c r="I43">
        <v>8796.80679447914</v>
      </c>
      <c r="J43">
        <v>380.43682996546187</v>
      </c>
      <c r="K43">
        <v>40.7352360996399</v>
      </c>
      <c r="L43">
        <v>400.782036970955</v>
      </c>
      <c r="M43">
        <v>552.377935109662</v>
      </c>
      <c r="N43">
        <v>2857.02502131029</v>
      </c>
      <c r="O43">
        <f t="shared" si="16"/>
        <v>176.1296442379799</v>
      </c>
      <c r="P43" s="3">
        <f t="shared" si="17"/>
        <v>21.15569314204161</v>
      </c>
      <c r="Q43" s="2">
        <f t="shared" si="18"/>
        <v>26.46268741844939</v>
      </c>
      <c r="R43" s="2">
        <f t="shared" si="19"/>
        <v>70.4133821644462</v>
      </c>
      <c r="S43" s="2">
        <f t="shared" si="20"/>
        <v>3.6690853426014165</v>
      </c>
      <c r="T43" s="2">
        <f t="shared" si="21"/>
        <v>0.2734904107668017</v>
      </c>
      <c r="U43">
        <f t="shared" si="22"/>
        <v>118.18138031252607</v>
      </c>
      <c r="V43">
        <f t="shared" si="0"/>
        <v>6.514460557203564</v>
      </c>
      <c r="W43">
        <f t="shared" si="1"/>
        <v>24.61753205255252</v>
      </c>
      <c r="X43">
        <f t="shared" si="2"/>
        <v>17.334036923618847</v>
      </c>
      <c r="Y43">
        <f t="shared" si="3"/>
        <v>0.90323826025041</v>
      </c>
      <c r="Z43">
        <f t="shared" si="4"/>
        <v>0.06732658953117496</v>
      </c>
      <c r="AA43">
        <f t="shared" si="5"/>
        <v>0.6474156333296487</v>
      </c>
      <c r="AB43">
        <f t="shared" si="6"/>
        <v>423.25566971289885</v>
      </c>
      <c r="AC43">
        <f t="shared" si="7"/>
        <v>18.304601773400428</v>
      </c>
      <c r="AD43">
        <f t="shared" si="23"/>
        <v>1.9599634320816073</v>
      </c>
      <c r="AE43">
        <f t="shared" si="24"/>
        <v>19.283505188894548</v>
      </c>
      <c r="AF43">
        <f t="shared" si="25"/>
        <v>26.577495484634127</v>
      </c>
      <c r="AG43">
        <f t="shared" si="26"/>
        <v>137.46488550142087</v>
      </c>
      <c r="AH43">
        <f t="shared" si="27"/>
        <v>8.474423989285171</v>
      </c>
      <c r="AI43" s="8">
        <v>61593522.0511</v>
      </c>
      <c r="AJ43">
        <v>53.8016128284983</v>
      </c>
      <c r="AK43" s="3">
        <f t="shared" si="8"/>
        <v>19.187306777891177</v>
      </c>
      <c r="AL43" s="3">
        <f t="shared" si="9"/>
        <v>1.0576535226868427</v>
      </c>
      <c r="AM43" s="3">
        <f t="shared" si="10"/>
        <v>3.9967729126009406</v>
      </c>
      <c r="AN43" s="3">
        <f t="shared" si="11"/>
        <v>2.814262985194768</v>
      </c>
      <c r="AO43" s="3">
        <f t="shared" si="12"/>
        <v>0.1466450091133048</v>
      </c>
      <c r="AP43" s="3">
        <f t="shared" si="13"/>
        <v>0.010930790656088577</v>
      </c>
      <c r="AQ43" s="3">
        <f t="shared" si="14"/>
        <v>0.1051109941062522</v>
      </c>
      <c r="AR43" s="3">
        <f t="shared" si="15"/>
        <v>68.71756243485348</v>
      </c>
      <c r="AS43" s="3">
        <f t="shared" si="28"/>
        <v>2.9718387849641608</v>
      </c>
      <c r="AT43" s="3">
        <f t="shared" si="29"/>
        <v>0.31820934520606853</v>
      </c>
      <c r="AU43" s="3">
        <f t="shared" si="30"/>
        <v>3.1307683903668186</v>
      </c>
      <c r="AV43" s="3">
        <f t="shared" si="31"/>
        <v>4.314982257807009</v>
      </c>
      <c r="AW43" s="3">
        <f t="shared" si="32"/>
        <v>22.318075168258034</v>
      </c>
      <c r="AX43" s="3">
        <f t="shared" si="33"/>
        <v>1.3758628678929112</v>
      </c>
      <c r="AY43" s="2">
        <f t="shared" si="34"/>
        <v>0.31885713212460853</v>
      </c>
      <c r="AZ43" s="5" t="s">
        <v>271</v>
      </c>
      <c r="BA43">
        <v>0.681400253041856</v>
      </c>
      <c r="BB43">
        <v>0.792272646485546</v>
      </c>
      <c r="BC43">
        <v>0.328140781120566</v>
      </c>
      <c r="BD43">
        <v>0.76483734770279</v>
      </c>
      <c r="BE43">
        <v>9.99E-12</v>
      </c>
      <c r="BF43">
        <v>1.263470684E-06</v>
      </c>
      <c r="BG43">
        <v>1</v>
      </c>
      <c r="BH43">
        <v>0.000148503033046</v>
      </c>
      <c r="BI43">
        <v>0.232839689619429</v>
      </c>
    </row>
    <row r="44" spans="1:61" ht="26.25">
      <c r="A44" s="1" t="s">
        <v>208</v>
      </c>
      <c r="B44">
        <v>742.822145695623</v>
      </c>
      <c r="C44">
        <v>20.2584746321087</v>
      </c>
      <c r="D44">
        <v>30.8585407119731</v>
      </c>
      <c r="E44">
        <v>5.01783841982093</v>
      </c>
      <c r="F44">
        <v>5.12834127924251</v>
      </c>
      <c r="G44">
        <v>0.414734811366694</v>
      </c>
      <c r="H44">
        <v>23.9039451212115</v>
      </c>
      <c r="I44">
        <v>8526.0191866374</v>
      </c>
      <c r="J44">
        <v>10.560914510430134</v>
      </c>
      <c r="K44">
        <v>26.0717631592921</v>
      </c>
      <c r="L44">
        <v>407.086480444749</v>
      </c>
      <c r="M44">
        <v>56.9303038712652</v>
      </c>
      <c r="N44">
        <v>1149.90862614037</v>
      </c>
      <c r="O44">
        <f t="shared" si="16"/>
        <v>46.330237791400805</v>
      </c>
      <c r="P44" s="3">
        <f t="shared" si="17"/>
        <v>42.75971095705745</v>
      </c>
      <c r="Q44" s="2">
        <f t="shared" si="18"/>
        <v>65.64949010776917</v>
      </c>
      <c r="R44" s="2">
        <f t="shared" si="19"/>
        <v>16.260776770542527</v>
      </c>
      <c r="S44" s="2">
        <f t="shared" si="20"/>
        <v>16.618871667034842</v>
      </c>
      <c r="T44" s="2">
        <f t="shared" si="21"/>
        <v>1.3439871160394083</v>
      </c>
      <c r="U44">
        <f t="shared" si="22"/>
        <v>0.15161567545081334</v>
      </c>
      <c r="V44">
        <f t="shared" si="0"/>
        <v>0.004134909456790615</v>
      </c>
      <c r="W44">
        <f t="shared" si="1"/>
        <v>0.0062984639332351435</v>
      </c>
      <c r="X44">
        <f t="shared" si="2"/>
        <v>0.0010241791601564997</v>
      </c>
      <c r="Y44">
        <f t="shared" si="3"/>
        <v>0.0010467336380588239</v>
      </c>
      <c r="Z44">
        <f t="shared" si="4"/>
        <v>8.465054377106931E-05</v>
      </c>
      <c r="AA44">
        <f t="shared" si="5"/>
        <v>0.004878977836744118</v>
      </c>
      <c r="AB44">
        <f t="shared" si="6"/>
        <v>1.7402256588326166</v>
      </c>
      <c r="AC44">
        <f t="shared" si="7"/>
        <v>0.0021555633419863933</v>
      </c>
      <c r="AD44">
        <f t="shared" si="23"/>
        <v>0.005321446061476777</v>
      </c>
      <c r="AE44">
        <f t="shared" si="24"/>
        <v>0.083089460993016</v>
      </c>
      <c r="AF44">
        <f t="shared" si="25"/>
        <v>0.011619909994711923</v>
      </c>
      <c r="AG44">
        <f t="shared" si="26"/>
        <v>0.2347051364438289</v>
      </c>
      <c r="AH44">
        <f t="shared" si="27"/>
        <v>0.009456355518267394</v>
      </c>
      <c r="AI44" s="8">
        <v>285006.697775</v>
      </c>
      <c r="AJ44">
        <v>0.228232152536101</v>
      </c>
      <c r="AK44" s="3">
        <f t="shared" si="8"/>
        <v>5.319723242802775</v>
      </c>
      <c r="AL44" s="3">
        <f t="shared" si="9"/>
        <v>0.14508113279691903</v>
      </c>
      <c r="AM44" s="3">
        <f t="shared" si="10"/>
        <v>0.22099354093802728</v>
      </c>
      <c r="AN44" s="3">
        <f t="shared" si="11"/>
        <v>0.03593526636925014</v>
      </c>
      <c r="AO44" s="3">
        <f t="shared" si="12"/>
        <v>0.036726632960926875</v>
      </c>
      <c r="AP44" s="3">
        <f t="shared" si="13"/>
        <v>0.002970124717486363</v>
      </c>
      <c r="AQ44" s="3">
        <f t="shared" si="14"/>
        <v>0.17118818171058744</v>
      </c>
      <c r="AR44" s="3">
        <f t="shared" si="15"/>
        <v>61.05911448461631</v>
      </c>
      <c r="AS44" s="3">
        <f t="shared" si="28"/>
        <v>0.0756320240476634</v>
      </c>
      <c r="AT44" s="3">
        <f t="shared" si="29"/>
        <v>0.1867130177297735</v>
      </c>
      <c r="AU44" s="3">
        <f t="shared" si="30"/>
        <v>2.9153511703999113</v>
      </c>
      <c r="AV44" s="3">
        <f t="shared" si="31"/>
        <v>0.40770655866780087</v>
      </c>
      <c r="AW44" s="3">
        <f t="shared" si="32"/>
        <v>8.235074413202671</v>
      </c>
      <c r="AX44" s="3">
        <f t="shared" si="33"/>
        <v>0.3317941505266926</v>
      </c>
      <c r="AY44" s="2">
        <f t="shared" si="34"/>
        <v>0.8138062620597633</v>
      </c>
      <c r="AZ44" s="5" t="s">
        <v>272</v>
      </c>
      <c r="BA44">
        <v>0.226609234119056</v>
      </c>
      <c r="BB44">
        <v>0.594974415945114</v>
      </c>
      <c r="BC44">
        <v>0.059585249846309</v>
      </c>
      <c r="BD44">
        <v>0.071042265739015</v>
      </c>
      <c r="BE44">
        <v>0.278894995277541</v>
      </c>
      <c r="BF44">
        <v>0.085519942039258</v>
      </c>
      <c r="BG44">
        <v>0.000148503033046</v>
      </c>
      <c r="BH44">
        <v>1</v>
      </c>
      <c r="BI44">
        <v>0.048142384361078</v>
      </c>
    </row>
    <row r="45" spans="1:61" ht="12.75">
      <c r="A45" s="1" t="s">
        <v>209</v>
      </c>
      <c r="B45">
        <v>765.951439353617</v>
      </c>
      <c r="C45">
        <v>39.9657930586978</v>
      </c>
      <c r="D45">
        <v>104.776219460203</v>
      </c>
      <c r="E45">
        <v>61.5818229485857</v>
      </c>
      <c r="F45">
        <v>2.75301291773879</v>
      </c>
      <c r="G45">
        <v>0.220409533417315</v>
      </c>
      <c r="H45">
        <v>2.04944579536474</v>
      </c>
      <c r="I45">
        <v>5588.0647241619</v>
      </c>
      <c r="J45">
        <v>64.5552453997418</v>
      </c>
      <c r="K45">
        <v>19.082321859128</v>
      </c>
      <c r="L45">
        <v>169.403096827761</v>
      </c>
      <c r="M45">
        <v>123.858541319331</v>
      </c>
      <c r="N45">
        <v>935.354536181379</v>
      </c>
      <c r="O45">
        <f t="shared" si="16"/>
        <v>59.0481149178258</v>
      </c>
      <c r="P45" s="3">
        <f t="shared" si="17"/>
        <v>22.34958489400926</v>
      </c>
      <c r="Q45" s="2">
        <f t="shared" si="18"/>
        <v>38.14395410007893</v>
      </c>
      <c r="R45" s="2">
        <f t="shared" si="19"/>
        <v>58.77461819661879</v>
      </c>
      <c r="S45" s="2">
        <f t="shared" si="20"/>
        <v>2.6275169422241493</v>
      </c>
      <c r="T45" s="2">
        <f t="shared" si="21"/>
        <v>0.2103621743109684</v>
      </c>
      <c r="U45">
        <f t="shared" si="22"/>
        <v>10.903365336866084</v>
      </c>
      <c r="V45">
        <f t="shared" si="0"/>
        <v>0.5689154955623635</v>
      </c>
      <c r="W45">
        <f t="shared" si="1"/>
        <v>1.49149585821567</v>
      </c>
      <c r="X45">
        <f t="shared" si="2"/>
        <v>0.8766209960846428</v>
      </c>
      <c r="Y45">
        <f t="shared" si="3"/>
        <v>0.03918930636718821</v>
      </c>
      <c r="Z45">
        <f t="shared" si="4"/>
        <v>0.0031375431171005216</v>
      </c>
      <c r="AA45">
        <f t="shared" si="5"/>
        <v>0.029173985577758573</v>
      </c>
      <c r="AB45">
        <f t="shared" si="6"/>
        <v>79.54644130574185</v>
      </c>
      <c r="AC45">
        <f t="shared" si="7"/>
        <v>0.9189478455689315</v>
      </c>
      <c r="AD45">
        <f t="shared" si="23"/>
        <v>0.2716380125629379</v>
      </c>
      <c r="AE45">
        <f t="shared" si="24"/>
        <v>2.41146338920429</v>
      </c>
      <c r="AF45">
        <f t="shared" si="25"/>
        <v>1.7631338707786082</v>
      </c>
      <c r="AG45">
        <f t="shared" si="26"/>
        <v>13.314828726070388</v>
      </c>
      <c r="AH45">
        <f t="shared" si="27"/>
        <v>0.8405535081253014</v>
      </c>
      <c r="AI45" s="8">
        <v>19877196.5234</v>
      </c>
      <c r="AJ45">
        <v>15.9175745140577</v>
      </c>
      <c r="AK45" s="3">
        <f t="shared" si="8"/>
        <v>5.485363755412053</v>
      </c>
      <c r="AL45" s="3">
        <f t="shared" si="9"/>
        <v>0.28621515860781477</v>
      </c>
      <c r="AM45" s="3">
        <f t="shared" si="10"/>
        <v>0.750355240720108</v>
      </c>
      <c r="AN45" s="3">
        <f t="shared" si="11"/>
        <v>0.4410184278515633</v>
      </c>
      <c r="AO45" s="3">
        <f t="shared" si="12"/>
        <v>0.019715711076787636</v>
      </c>
      <c r="AP45" s="3">
        <f t="shared" si="13"/>
        <v>0.00157846359943512</v>
      </c>
      <c r="AQ45" s="3">
        <f t="shared" si="14"/>
        <v>0.014677112812872845</v>
      </c>
      <c r="AR45" s="3">
        <f t="shared" si="15"/>
        <v>40.018943925063844</v>
      </c>
      <c r="AS45" s="3">
        <f t="shared" si="28"/>
        <v>0.46231260252778605</v>
      </c>
      <c r="AT45" s="3">
        <f t="shared" si="29"/>
        <v>0.1366581108372893</v>
      </c>
      <c r="AU45" s="3">
        <f t="shared" si="30"/>
        <v>1.2131808358213128</v>
      </c>
      <c r="AV45" s="3">
        <f t="shared" si="31"/>
        <v>0.8870133515573974</v>
      </c>
      <c r="AW45" s="3">
        <f t="shared" si="32"/>
        <v>6.6985445912333725</v>
      </c>
      <c r="AX45" s="3">
        <f t="shared" si="33"/>
        <v>0.42287326944510406</v>
      </c>
      <c r="AY45" s="2">
        <f t="shared" si="34"/>
        <v>0.4767383362410871</v>
      </c>
      <c r="AZ45" s="5" t="s">
        <v>644</v>
      </c>
      <c r="BA45">
        <v>1.149862782E-06</v>
      </c>
      <c r="BB45">
        <v>0.035384436894303</v>
      </c>
      <c r="BC45">
        <v>0</v>
      </c>
      <c r="BD45">
        <v>0</v>
      </c>
      <c r="BE45">
        <v>0.307758770307191</v>
      </c>
      <c r="BF45">
        <v>0.000507529007115</v>
      </c>
      <c r="BG45">
        <v>0.232839689619429</v>
      </c>
      <c r="BH45">
        <v>0.048142384361078</v>
      </c>
      <c r="BI45">
        <v>1</v>
      </c>
    </row>
    <row r="46" spans="17:37" ht="12.75">
      <c r="Q46" s="6"/>
      <c r="R46" s="6"/>
      <c r="S46" s="6"/>
      <c r="T46" s="6"/>
      <c r="AK46" s="9"/>
    </row>
    <row r="47" ht="12.75">
      <c r="A47" s="1" t="s">
        <v>214</v>
      </c>
    </row>
    <row r="48" spans="1:51" ht="12.75">
      <c r="A48" s="1" t="s">
        <v>241</v>
      </c>
      <c r="B48" s="1">
        <f>AVERAGE($B$3:$B$45)</f>
        <v>1847.29458663837</v>
      </c>
      <c r="C48" s="1">
        <f>AVERAGE(C3:C45)</f>
        <v>52.96484115992685</v>
      </c>
      <c r="D48" s="1">
        <f aca="true" t="shared" si="35" ref="D48:I48">AVERAGE(D3:D45)</f>
        <v>266.75808626402863</v>
      </c>
      <c r="E48" s="1">
        <f t="shared" si="35"/>
        <v>197.16949875796826</v>
      </c>
      <c r="F48" s="1">
        <f t="shared" si="35"/>
        <v>15.59545053883597</v>
      </c>
      <c r="G48" s="1">
        <f t="shared" si="35"/>
        <v>0.990057336763093</v>
      </c>
      <c r="H48" s="1">
        <f t="shared" si="35"/>
        <v>13.602862782841601</v>
      </c>
      <c r="I48" s="1">
        <f t="shared" si="35"/>
        <v>6693.0704979009515</v>
      </c>
      <c r="J48" s="1"/>
      <c r="K48" s="1"/>
      <c r="L48" s="1"/>
      <c r="M48" s="1"/>
      <c r="N48" s="1"/>
      <c r="O48" s="1"/>
      <c r="P48" s="1"/>
      <c r="Q48" s="1"/>
      <c r="R48" s="1"/>
      <c r="S48" s="1"/>
      <c r="T48" s="1"/>
      <c r="U48" s="1"/>
      <c r="V48" s="1"/>
      <c r="W48" s="1"/>
      <c r="X48" s="1"/>
      <c r="Y48" s="1"/>
      <c r="Z48" s="1"/>
      <c r="AA48" s="1"/>
      <c r="AB48" s="1"/>
      <c r="AC48" s="1"/>
      <c r="AD48" s="1"/>
      <c r="AE48" s="1"/>
      <c r="AF48" s="1"/>
      <c r="AG48" s="1"/>
      <c r="AH48" s="1"/>
      <c r="AI48" s="1">
        <f aca="true" t="shared" si="36" ref="AI48:AV48">AVERAGE(AI3:AI45)</f>
        <v>61390751.666680336</v>
      </c>
      <c r="AJ48" s="1">
        <f t="shared" si="36"/>
        <v>155.47560193664276</v>
      </c>
      <c r="AK48" s="1">
        <f t="shared" si="36"/>
        <v>14.547720601070882</v>
      </c>
      <c r="AL48" s="1">
        <f t="shared" si="36"/>
        <v>0.45512133096227814</v>
      </c>
      <c r="AM48" s="1">
        <f t="shared" si="36"/>
        <v>2.1295169908385656</v>
      </c>
      <c r="AN48" s="1">
        <f t="shared" si="36"/>
        <v>1.5169885665733995</v>
      </c>
      <c r="AO48" s="1">
        <f t="shared" si="36"/>
        <v>0.14675310083920193</v>
      </c>
      <c r="AP48" s="1">
        <f t="shared" si="36"/>
        <v>0.010506925636754288</v>
      </c>
      <c r="AQ48" s="1">
        <f t="shared" si="36"/>
        <v>0.11637061403923114</v>
      </c>
      <c r="AR48" s="1">
        <f t="shared" si="36"/>
        <v>64.51626047844415</v>
      </c>
      <c r="AS48" s="1">
        <f t="shared" si="36"/>
        <v>1.6742485930493558</v>
      </c>
      <c r="AT48" s="1">
        <f t="shared" si="36"/>
        <v>0.42614633983564065</v>
      </c>
      <c r="AU48" s="1">
        <f t="shared" si="36"/>
        <v>4.256974662657462</v>
      </c>
      <c r="AV48" s="1">
        <f t="shared" si="36"/>
        <v>2.555663330674204</v>
      </c>
      <c r="AW48" s="1"/>
      <c r="AX48" s="1"/>
      <c r="AY48" s="1"/>
    </row>
    <row r="49" spans="1:51" ht="12.75">
      <c r="A49" s="1" t="s">
        <v>216</v>
      </c>
      <c r="B49" s="1">
        <f>MEDIAN($B$3:$B$45)</f>
        <v>1316.30487371459</v>
      </c>
      <c r="C49" s="1">
        <f>MEDIAN(C3:C45)</f>
        <v>38.6839006233644</v>
      </c>
      <c r="D49" s="1">
        <f aca="true" t="shared" si="37" ref="D49:I49">MEDIAN(D3:D45)</f>
        <v>188.891954435804</v>
      </c>
      <c r="E49" s="1">
        <f t="shared" si="37"/>
        <v>114.206285348409</v>
      </c>
      <c r="F49" s="1">
        <f t="shared" si="37"/>
        <v>9.71150578126659</v>
      </c>
      <c r="G49" s="1">
        <f t="shared" si="37"/>
        <v>0.639166360139456</v>
      </c>
      <c r="H49" s="1">
        <f t="shared" si="37"/>
        <v>10.8914390231804</v>
      </c>
      <c r="I49" s="1">
        <f t="shared" si="37"/>
        <v>6778.68421014755</v>
      </c>
      <c r="J49" s="1"/>
      <c r="K49" s="1"/>
      <c r="L49" s="1"/>
      <c r="M49" s="1"/>
      <c r="N49" s="1"/>
      <c r="O49" s="1"/>
      <c r="P49" s="1"/>
      <c r="Q49" s="1"/>
      <c r="R49" s="1"/>
      <c r="S49" s="1"/>
      <c r="T49" s="1"/>
      <c r="U49" s="1"/>
      <c r="V49" s="1"/>
      <c r="W49" s="1"/>
      <c r="X49" s="1"/>
      <c r="Y49" s="1"/>
      <c r="Z49" s="1"/>
      <c r="AA49" s="1"/>
      <c r="AB49" s="1"/>
      <c r="AC49" s="1"/>
      <c r="AD49" s="1"/>
      <c r="AE49" s="1"/>
      <c r="AF49" s="1"/>
      <c r="AG49" s="1"/>
      <c r="AH49" s="1"/>
      <c r="AI49" s="1">
        <f aca="true" t="shared" si="38" ref="AI49:AR49">MEDIAN(AI3:AI45)</f>
        <v>14574813.456286224</v>
      </c>
      <c r="AJ49" s="1">
        <f t="shared" si="38"/>
        <v>11.6714486847215</v>
      </c>
      <c r="AK49" s="1">
        <f t="shared" si="38"/>
        <v>13.025499732994565</v>
      </c>
      <c r="AL49" s="1">
        <f t="shared" si="38"/>
        <v>0.4444113253972944</v>
      </c>
      <c r="AM49" s="1">
        <f t="shared" si="38"/>
        <v>1.8857807158707691</v>
      </c>
      <c r="AN49" s="1">
        <f t="shared" si="38"/>
        <v>1.2535111523193077</v>
      </c>
      <c r="AO49" s="1">
        <f t="shared" si="38"/>
        <v>0.09184079707387399</v>
      </c>
      <c r="AP49" s="1">
        <f t="shared" si="38"/>
        <v>0.0061704564285376545</v>
      </c>
      <c r="AQ49" s="1">
        <f t="shared" si="38"/>
        <v>0.07799907643290238</v>
      </c>
      <c r="AR49" s="1">
        <f t="shared" si="38"/>
        <v>55.69800071656899</v>
      </c>
      <c r="AS49" s="1"/>
      <c r="AT49" s="1"/>
      <c r="AU49" s="1"/>
      <c r="AV49" s="1"/>
      <c r="AW49" s="1"/>
      <c r="AX49" s="1"/>
      <c r="AY49" s="1"/>
    </row>
    <row r="50" spans="1:51" ht="12.75">
      <c r="A50" s="1" t="s">
        <v>215</v>
      </c>
      <c r="B50" s="1">
        <f>STDEV($B$3:$B$45)</f>
        <v>1973.4686692719413</v>
      </c>
      <c r="C50" s="1">
        <f>STDEV(C3:C45)</f>
        <v>57.82576139865255</v>
      </c>
      <c r="D50" s="1">
        <f aca="true" t="shared" si="39" ref="D50:I50">STDEV(D3:D45)</f>
        <v>234.26422748093114</v>
      </c>
      <c r="E50" s="1">
        <f t="shared" si="39"/>
        <v>205.85914405652025</v>
      </c>
      <c r="F50" s="1">
        <f t="shared" si="39"/>
        <v>34.50316774991675</v>
      </c>
      <c r="G50" s="1">
        <f t="shared" si="39"/>
        <v>1.0250092370553032</v>
      </c>
      <c r="H50" s="1">
        <f t="shared" si="39"/>
        <v>13.814541853011743</v>
      </c>
      <c r="I50" s="1">
        <f t="shared" si="39"/>
        <v>1705.8069094029297</v>
      </c>
      <c r="J50" s="1"/>
      <c r="K50" s="1"/>
      <c r="L50" s="1"/>
      <c r="M50" s="1"/>
      <c r="N50" s="1"/>
      <c r="O50" s="1"/>
      <c r="P50" s="1"/>
      <c r="Q50" s="1"/>
      <c r="R50" s="1"/>
      <c r="S50" s="1"/>
      <c r="T50" s="1"/>
      <c r="U50" s="1"/>
      <c r="V50" s="1"/>
      <c r="W50" s="1"/>
      <c r="X50" s="1"/>
      <c r="Y50" s="1"/>
      <c r="Z50" s="1"/>
      <c r="AA50" s="1"/>
      <c r="AB50" s="1"/>
      <c r="AC50" s="1"/>
      <c r="AD50" s="1"/>
      <c r="AE50" s="1"/>
      <c r="AF50" s="1"/>
      <c r="AG50" s="1"/>
      <c r="AH50" s="1"/>
      <c r="AI50" s="1">
        <f aca="true" t="shared" si="40" ref="AI50:AR50">STDEV(AI3:AI45)</f>
        <v>96861473.31836677</v>
      </c>
      <c r="AJ50" s="1">
        <f t="shared" si="40"/>
        <v>353.90990885964504</v>
      </c>
      <c r="AK50" s="1">
        <f>STDEV(AK3:AK45)</f>
        <v>8.979049904143558</v>
      </c>
      <c r="AL50" s="1">
        <f t="shared" si="40"/>
        <v>0.3540540348665039</v>
      </c>
      <c r="AM50" s="1">
        <f t="shared" si="40"/>
        <v>1.3362858836294038</v>
      </c>
      <c r="AN50" s="1">
        <f t="shared" si="40"/>
        <v>1.2674561707537109</v>
      </c>
      <c r="AO50" s="1">
        <f t="shared" si="40"/>
        <v>0.2580314144904294</v>
      </c>
      <c r="AP50" s="1">
        <f t="shared" si="40"/>
        <v>0.018433297370433303</v>
      </c>
      <c r="AQ50" s="1">
        <f t="shared" si="40"/>
        <v>0.1265464460467669</v>
      </c>
      <c r="AR50" s="1">
        <f t="shared" si="40"/>
        <v>38.85645713686815</v>
      </c>
      <c r="AS50" s="1"/>
      <c r="AT50" s="1"/>
      <c r="AU50" s="1"/>
      <c r="AV50" s="1"/>
      <c r="AW50" s="1"/>
      <c r="AX50" s="1"/>
      <c r="AY50" s="1"/>
    </row>
    <row r="51" spans="37:51" ht="12.75">
      <c r="AK51" s="3">
        <f>MAX(AK3:AK45)</f>
        <v>44.15620897178154</v>
      </c>
      <c r="AL51" s="3">
        <f aca="true" t="shared" si="41" ref="AL51:AR51">MAX(AL3:AL45)</f>
        <v>1.1414125387512322</v>
      </c>
      <c r="AM51" s="3">
        <f t="shared" si="41"/>
        <v>5.899560031657052</v>
      </c>
      <c r="AN51" s="3">
        <f t="shared" si="41"/>
        <v>6.4586860183669454</v>
      </c>
      <c r="AO51" s="3">
        <f t="shared" si="41"/>
        <v>1.6775976168341369</v>
      </c>
      <c r="AP51" s="3">
        <f t="shared" si="41"/>
        <v>0.11881974036558424</v>
      </c>
      <c r="AQ51" s="3">
        <f t="shared" si="41"/>
        <v>0.6215348687537038</v>
      </c>
      <c r="AR51" s="3">
        <f t="shared" si="41"/>
        <v>234.03556089261667</v>
      </c>
      <c r="AS51" s="3"/>
      <c r="AT51" s="3"/>
      <c r="AU51" s="3"/>
      <c r="AV51" s="3"/>
      <c r="AW51" s="3"/>
      <c r="AX51" s="3"/>
      <c r="AY51" s="3"/>
    </row>
    <row r="58" ht="12.75">
      <c r="AJ58">
        <f>AVERAGE(Q_monthly_by_region!AD2:BA2)</f>
        <v>5149.740340396941</v>
      </c>
    </row>
    <row r="59" spans="35:36" ht="12.75">
      <c r="AI59" s="1" t="s">
        <v>167</v>
      </c>
      <c r="AJ59">
        <f aca="true" t="shared" si="42" ref="AJ59:AJ99">AJ3/$AJ$58*100</f>
        <v>0.006498337134884716</v>
      </c>
    </row>
    <row r="60" spans="35:36" ht="12.75">
      <c r="AI60" s="1" t="s">
        <v>168</v>
      </c>
      <c r="AJ60">
        <f t="shared" si="42"/>
        <v>0.2399336954108584</v>
      </c>
    </row>
    <row r="61" spans="35:36" ht="12.75">
      <c r="AI61" s="1" t="s">
        <v>169</v>
      </c>
      <c r="AJ61">
        <f t="shared" si="42"/>
        <v>0.7192204600870986</v>
      </c>
    </row>
    <row r="62" spans="35:36" ht="12.75">
      <c r="AI62" s="1" t="s">
        <v>170</v>
      </c>
      <c r="AJ62">
        <f t="shared" si="42"/>
        <v>0.06613579417169274</v>
      </c>
    </row>
    <row r="63" spans="35:38" ht="12.75">
      <c r="AI63" s="1" t="s">
        <v>171</v>
      </c>
      <c r="AJ63">
        <f t="shared" si="42"/>
        <v>4.150606864125338</v>
      </c>
      <c r="AL63">
        <f>AJ61+AJ63+AJ66+AJ67+AJ74+AJ79+AJ83+AJ93</f>
        <v>82.42448970214447</v>
      </c>
    </row>
    <row r="64" spans="35:36" ht="12.75">
      <c r="AI64" s="1" t="s">
        <v>172</v>
      </c>
      <c r="AJ64">
        <f t="shared" si="42"/>
        <v>0.10189948813460717</v>
      </c>
    </row>
    <row r="65" spans="35:36" ht="12.75">
      <c r="AI65" s="1" t="s">
        <v>173</v>
      </c>
      <c r="AJ65">
        <f t="shared" si="42"/>
        <v>0.8663158234777335</v>
      </c>
    </row>
    <row r="66" spans="35:36" ht="12.75">
      <c r="AI66" s="1" t="s">
        <v>174</v>
      </c>
      <c r="AJ66">
        <f t="shared" si="42"/>
        <v>13.031923036069582</v>
      </c>
    </row>
    <row r="67" spans="35:36" ht="12.75">
      <c r="AI67" s="1" t="s">
        <v>175</v>
      </c>
      <c r="AJ67">
        <f t="shared" si="42"/>
        <v>8.72577341758025</v>
      </c>
    </row>
    <row r="68" spans="35:36" ht="12.75">
      <c r="AI68" s="1" t="s">
        <v>176</v>
      </c>
      <c r="AJ68">
        <f t="shared" si="42"/>
        <v>0.2266414986628601</v>
      </c>
    </row>
    <row r="69" spans="35:36" ht="12.75">
      <c r="AI69" s="1" t="s">
        <v>177</v>
      </c>
      <c r="AJ69">
        <f t="shared" si="42"/>
        <v>0.028433570113804138</v>
      </c>
    </row>
    <row r="70" spans="35:36" ht="12.75">
      <c r="AI70" s="1" t="s">
        <v>178</v>
      </c>
      <c r="AJ70">
        <f t="shared" si="42"/>
        <v>0.028433570113804138</v>
      </c>
    </row>
    <row r="71" spans="35:36" ht="12.75">
      <c r="AI71" s="1" t="s">
        <v>179</v>
      </c>
      <c r="AJ71">
        <f t="shared" si="42"/>
        <v>0.1347436524924388</v>
      </c>
    </row>
    <row r="72" spans="35:36" ht="12.75">
      <c r="AI72" s="1" t="s">
        <v>180</v>
      </c>
      <c r="AJ72">
        <f t="shared" si="42"/>
        <v>0.08625401502132479</v>
      </c>
    </row>
    <row r="73" spans="35:36" ht="12.75">
      <c r="AI73" s="1" t="s">
        <v>181</v>
      </c>
      <c r="AJ73">
        <f t="shared" si="42"/>
        <v>0.8778423499890322</v>
      </c>
    </row>
    <row r="74" spans="35:36" ht="12.75">
      <c r="AI74" s="1" t="s">
        <v>182</v>
      </c>
      <c r="AJ74">
        <f t="shared" si="42"/>
        <v>11.556897464801903</v>
      </c>
    </row>
    <row r="75" spans="35:36" ht="12.75">
      <c r="AI75" s="1" t="s">
        <v>183</v>
      </c>
      <c r="AJ75">
        <f t="shared" si="42"/>
        <v>0.03385854432908731</v>
      </c>
    </row>
    <row r="76" spans="35:36" ht="12.75">
      <c r="AI76" s="1" t="s">
        <v>184</v>
      </c>
      <c r="AJ76">
        <f t="shared" si="42"/>
        <v>0.045734158396023177</v>
      </c>
    </row>
    <row r="77" spans="35:36" ht="12.75">
      <c r="AI77" s="1" t="s">
        <v>185</v>
      </c>
      <c r="AJ77">
        <f t="shared" si="42"/>
        <v>0.04768014159947175</v>
      </c>
    </row>
    <row r="78" spans="35:36" ht="12.75">
      <c r="AI78" s="1" t="s">
        <v>186</v>
      </c>
      <c r="AJ78">
        <f t="shared" si="42"/>
        <v>0.2905944127220405</v>
      </c>
    </row>
    <row r="79" spans="35:36" ht="12.75">
      <c r="AI79" s="1" t="s">
        <v>187</v>
      </c>
      <c r="AJ79">
        <f t="shared" si="42"/>
        <v>13.299082546480575</v>
      </c>
    </row>
    <row r="80" spans="35:36" ht="12.75">
      <c r="AI80" s="1" t="s">
        <v>188</v>
      </c>
      <c r="AJ80">
        <f t="shared" si="42"/>
        <v>0.7171606978724057</v>
      </c>
    </row>
    <row r="81" spans="35:36" ht="12.75">
      <c r="AI81" s="1" t="s">
        <v>189</v>
      </c>
      <c r="AJ81">
        <f t="shared" si="42"/>
        <v>0.06078073967480264</v>
      </c>
    </row>
    <row r="82" spans="35:36" ht="12.75">
      <c r="AI82" s="1" t="s">
        <v>190</v>
      </c>
      <c r="AJ82">
        <f t="shared" si="42"/>
        <v>1.1778668864620456</v>
      </c>
    </row>
    <row r="83" spans="35:36" ht="12.75">
      <c r="AI83" s="1" t="s">
        <v>191</v>
      </c>
      <c r="AJ83">
        <f t="shared" si="42"/>
        <v>29.044317398360537</v>
      </c>
    </row>
    <row r="84" spans="35:36" ht="12.75">
      <c r="AI84" s="1" t="s">
        <v>192</v>
      </c>
      <c r="AJ84">
        <f t="shared" si="42"/>
        <v>0.06678070777867996</v>
      </c>
    </row>
    <row r="85" spans="35:36" ht="12.75">
      <c r="AI85" s="1" t="s">
        <v>193</v>
      </c>
      <c r="AJ85">
        <f t="shared" si="42"/>
        <v>0.4523225759936208</v>
      </c>
    </row>
    <row r="86" spans="35:36" ht="12.75">
      <c r="AI86" s="1" t="s">
        <v>194</v>
      </c>
      <c r="AJ86">
        <f t="shared" si="42"/>
        <v>0.022366044388639605</v>
      </c>
    </row>
    <row r="87" spans="35:36" ht="12.75">
      <c r="AI87" s="1" t="s">
        <v>195</v>
      </c>
      <c r="AJ87">
        <f t="shared" si="42"/>
        <v>10.266591998915729</v>
      </c>
    </row>
    <row r="88" spans="35:36" ht="12.75">
      <c r="AI88" s="1" t="s">
        <v>196</v>
      </c>
      <c r="AJ88">
        <f t="shared" si="42"/>
        <v>0.15846755912573599</v>
      </c>
    </row>
    <row r="89" spans="35:36" ht="12.75">
      <c r="AI89" s="1" t="s">
        <v>197</v>
      </c>
      <c r="AJ89">
        <f t="shared" si="42"/>
        <v>0.06409332564291324</v>
      </c>
    </row>
    <row r="90" spans="35:36" ht="12.75">
      <c r="AI90" s="1" t="s">
        <v>191</v>
      </c>
      <c r="AJ90">
        <f t="shared" si="42"/>
        <v>29.044317398360537</v>
      </c>
    </row>
    <row r="91" spans="35:36" ht="12.75">
      <c r="AI91" s="1" t="s">
        <v>198</v>
      </c>
      <c r="AJ91">
        <f t="shared" si="42"/>
        <v>0.24079247520233021</v>
      </c>
    </row>
    <row r="92" spans="35:36" ht="12.75">
      <c r="AI92" s="1" t="s">
        <v>199</v>
      </c>
      <c r="AJ92">
        <f t="shared" si="42"/>
        <v>0.07454475802040907</v>
      </c>
    </row>
    <row r="93" spans="35:36" ht="12.75">
      <c r="AI93" s="1" t="s">
        <v>200</v>
      </c>
      <c r="AJ93">
        <f t="shared" si="42"/>
        <v>1.896668514639193</v>
      </c>
    </row>
    <row r="94" spans="35:36" ht="12.75">
      <c r="AI94" s="1" t="s">
        <v>201</v>
      </c>
      <c r="AJ94">
        <f t="shared" si="42"/>
        <v>0.21430357404592446</v>
      </c>
    </row>
    <row r="95" spans="35:36" ht="12.75">
      <c r="AI95" s="1" t="s">
        <v>202</v>
      </c>
      <c r="AJ95">
        <f t="shared" si="42"/>
        <v>0.03634854896521419</v>
      </c>
    </row>
    <row r="96" spans="35:36" ht="12.75">
      <c r="AI96" s="1" t="s">
        <v>203</v>
      </c>
      <c r="AJ96">
        <f t="shared" si="42"/>
        <v>0.30850500162443173</v>
      </c>
    </row>
    <row r="97" spans="35:36" ht="12.75">
      <c r="AI97" s="1" t="s">
        <v>204</v>
      </c>
      <c r="AJ97">
        <f t="shared" si="42"/>
        <v>0.026329227347214917</v>
      </c>
    </row>
    <row r="98" spans="35:36" ht="12.75">
      <c r="AI98" s="1" t="s">
        <v>205</v>
      </c>
      <c r="AJ98">
        <f t="shared" si="42"/>
        <v>0.02579467656402712</v>
      </c>
    </row>
    <row r="99" spans="35:36" ht="12.75">
      <c r="AI99" s="1" t="s">
        <v>206</v>
      </c>
      <c r="AJ99">
        <f t="shared" si="42"/>
        <v>1.044744186545749</v>
      </c>
    </row>
    <row r="100" spans="35:36" ht="12.75">
      <c r="AI100" s="1" t="s">
        <v>207</v>
      </c>
      <c r="AJ100" t="e">
        <f>#REF!/$AJ$58*100</f>
        <v>#REF!</v>
      </c>
    </row>
    <row r="101" spans="35:36" ht="12.75">
      <c r="AI101" s="1" t="s">
        <v>208</v>
      </c>
      <c r="AJ101">
        <f>AJ44/$AJ$58*100</f>
        <v>0.004431915736522531</v>
      </c>
    </row>
    <row r="102" spans="35:36" ht="12.75">
      <c r="AI102" s="1" t="s">
        <v>209</v>
      </c>
      <c r="AJ102">
        <f>AJ45/$AJ$58*100</f>
        <v>0.3090947011287714</v>
      </c>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BU454"/>
  <sheetViews>
    <sheetView workbookViewId="0" topLeftCell="A5">
      <pane xSplit="3552" ySplit="528" topLeftCell="AO21" activePane="topLeft" state="split"/>
      <selection pane="topLeft" activeCell="A1" sqref="A1:IV1"/>
      <selection pane="topRight" activeCell="AS5" sqref="AS5"/>
      <selection pane="bottomLeft" activeCell="B35" sqref="B35"/>
      <selection pane="bottomRight" activeCell="AS36" sqref="AS36:AU36"/>
    </sheetView>
  </sheetViews>
  <sheetFormatPr defaultColWidth="9.140625" defaultRowHeight="12.75"/>
  <cols>
    <col min="1" max="1" width="16.421875" style="0" customWidth="1"/>
    <col min="2" max="2" width="31.28125" style="0" customWidth="1"/>
    <col min="30" max="31" width="14.7109375" style="0" customWidth="1"/>
    <col min="32" max="32" width="12.28125" style="0" customWidth="1"/>
    <col min="38" max="39" width="8.8515625" style="1" customWidth="1"/>
    <col min="41" max="41" width="25.140625" style="0" customWidth="1"/>
    <col min="42" max="45" width="10.57421875" style="0" customWidth="1"/>
    <col min="46" max="46" width="13.140625" style="0" customWidth="1"/>
    <col min="47" max="47" width="10.57421875" style="0" customWidth="1"/>
  </cols>
  <sheetData>
    <row r="1" ht="12.75">
      <c r="AZ1" t="s">
        <v>259</v>
      </c>
    </row>
    <row r="2" spans="1:55" ht="12.75">
      <c r="A2" s="1" t="s">
        <v>249</v>
      </c>
      <c r="B2" s="1" t="s">
        <v>250</v>
      </c>
      <c r="C2" t="s">
        <v>219</v>
      </c>
      <c r="D2" t="s">
        <v>220</v>
      </c>
      <c r="E2" t="s">
        <v>221</v>
      </c>
      <c r="F2" t="s">
        <v>222</v>
      </c>
      <c r="G2" t="s">
        <v>223</v>
      </c>
      <c r="H2" t="s">
        <v>224</v>
      </c>
      <c r="I2" t="s">
        <v>225</v>
      </c>
      <c r="J2" t="s">
        <v>226</v>
      </c>
      <c r="K2" t="s">
        <v>227</v>
      </c>
      <c r="L2" t="s">
        <v>228</v>
      </c>
      <c r="M2" t="s">
        <v>229</v>
      </c>
      <c r="N2" t="s">
        <v>230</v>
      </c>
      <c r="O2" t="s">
        <v>219</v>
      </c>
      <c r="P2" t="s">
        <v>220</v>
      </c>
      <c r="Q2" t="s">
        <v>221</v>
      </c>
      <c r="R2" t="s">
        <v>222</v>
      </c>
      <c r="S2" t="s">
        <v>223</v>
      </c>
      <c r="T2" t="s">
        <v>224</v>
      </c>
      <c r="U2" t="s">
        <v>225</v>
      </c>
      <c r="V2" t="s">
        <v>226</v>
      </c>
      <c r="W2" t="s">
        <v>227</v>
      </c>
      <c r="X2" t="s">
        <v>228</v>
      </c>
      <c r="Y2" t="s">
        <v>229</v>
      </c>
      <c r="Z2" t="s">
        <v>230</v>
      </c>
      <c r="AA2" s="1" t="s">
        <v>86</v>
      </c>
      <c r="AB2" s="1" t="s">
        <v>87</v>
      </c>
      <c r="AC2" s="1"/>
      <c r="AD2" s="1" t="s">
        <v>251</v>
      </c>
      <c r="AE2" s="1" t="s">
        <v>242</v>
      </c>
      <c r="AF2" s="1" t="s">
        <v>729</v>
      </c>
      <c r="AL2" s="1" t="s">
        <v>217</v>
      </c>
      <c r="AZ2" t="s">
        <v>260</v>
      </c>
      <c r="BA2" t="s">
        <v>261</v>
      </c>
      <c r="BB2" t="s">
        <v>263</v>
      </c>
      <c r="BC2" t="s">
        <v>262</v>
      </c>
    </row>
    <row r="3" spans="1:55" ht="12.75">
      <c r="A3" t="s">
        <v>150</v>
      </c>
      <c r="B3" t="s">
        <v>253</v>
      </c>
      <c r="C3">
        <v>66.7608658645195</v>
      </c>
      <c r="D3">
        <v>16.5582148016298</v>
      </c>
      <c r="E3">
        <v>11.7956217155074</v>
      </c>
      <c r="F3">
        <v>31.1929783457716</v>
      </c>
      <c r="G3">
        <v>38.6179027541229</v>
      </c>
      <c r="H3">
        <v>18.5533396467729</v>
      </c>
      <c r="I3">
        <v>9.21891556832738</v>
      </c>
      <c r="J3">
        <v>9.44442895196628</v>
      </c>
      <c r="K3">
        <v>46.4721325418104</v>
      </c>
      <c r="L3">
        <v>53.9031104790657</v>
      </c>
      <c r="M3">
        <v>57.396708023977</v>
      </c>
      <c r="N3">
        <v>135.26747242607</v>
      </c>
      <c r="O3">
        <v>115.99624608913</v>
      </c>
      <c r="P3">
        <v>73.029249435216</v>
      </c>
      <c r="Q3">
        <v>62.2889947652976</v>
      </c>
      <c r="R3">
        <v>28.0258986848421</v>
      </c>
      <c r="S3">
        <v>5.04451301671537</v>
      </c>
      <c r="T3">
        <v>65.9373979895625</v>
      </c>
      <c r="U3">
        <v>18.12408520575</v>
      </c>
      <c r="V3">
        <v>6.11789744726584</v>
      </c>
      <c r="W3">
        <v>3.86732732069179</v>
      </c>
      <c r="X3">
        <v>3.11492675917378</v>
      </c>
      <c r="Y3">
        <v>58.35924752663</v>
      </c>
      <c r="Z3">
        <v>93.0807640141279</v>
      </c>
      <c r="AA3">
        <f>SUM(C3:N3)</f>
        <v>495.1816911195408</v>
      </c>
      <c r="AB3">
        <f>SUM(O3:Z3)</f>
        <v>532.9865482544029</v>
      </c>
      <c r="AC3">
        <f>(AA3-AB3)/AD3</f>
        <v>-0.0735382706586651</v>
      </c>
      <c r="AD3" s="3">
        <f aca="true" t="shared" si="0" ref="AD3:AD67">SUM(C3:Z3)/2</f>
        <v>514.0841196869718</v>
      </c>
      <c r="AE3" s="3">
        <f>AD3/SUM($AD$3:$AD$7)*100</f>
        <v>10.981845678770384</v>
      </c>
      <c r="AF3" s="3">
        <f>(AD3)/(AD8)</f>
        <v>21.74983771084298</v>
      </c>
      <c r="AL3" s="3">
        <f>(AD3*1000)/(Q_monthly_by_region!AA2/10000)</f>
        <v>20.27777263765021</v>
      </c>
      <c r="AY3" s="1" t="s">
        <v>253</v>
      </c>
      <c r="AZ3">
        <f>AD3/12.011</f>
        <v>42.80110895737006</v>
      </c>
      <c r="BA3">
        <f>AD13/14.0067</f>
        <v>3.1518521331943807</v>
      </c>
      <c r="BB3">
        <f>AD33/30.9736</f>
        <v>0.013998993751918614</v>
      </c>
      <c r="BC3">
        <f>AD38/28.0855</f>
        <v>64.18104052570709</v>
      </c>
    </row>
    <row r="4" spans="1:55" ht="12.75">
      <c r="A4" t="s">
        <v>150</v>
      </c>
      <c r="B4" t="s">
        <v>149</v>
      </c>
      <c r="C4">
        <v>67.7136562174591</v>
      </c>
      <c r="D4">
        <v>16.6429215234637</v>
      </c>
      <c r="E4">
        <v>40.6608693299865</v>
      </c>
      <c r="F4">
        <v>53.6401294237133</v>
      </c>
      <c r="G4">
        <v>34.0896698736009</v>
      </c>
      <c r="H4">
        <v>14.6406579218559</v>
      </c>
      <c r="I4">
        <v>9.08931627381838</v>
      </c>
      <c r="J4">
        <v>6.39785282377959</v>
      </c>
      <c r="K4">
        <v>5.50113478006014</v>
      </c>
      <c r="L4">
        <v>19.5862206155654</v>
      </c>
      <c r="M4">
        <v>44.7863713750647</v>
      </c>
      <c r="N4">
        <v>132.120166534866</v>
      </c>
      <c r="O4">
        <v>217.323816446784</v>
      </c>
      <c r="P4">
        <v>64.0605101239397</v>
      </c>
      <c r="Q4">
        <v>51.2414155284987</v>
      </c>
      <c r="R4">
        <v>27.666436521367</v>
      </c>
      <c r="S4">
        <v>28.1505276143055</v>
      </c>
      <c r="T4">
        <v>16.4913120790875</v>
      </c>
      <c r="U4">
        <v>8.39533319160305</v>
      </c>
      <c r="V4">
        <v>9.20702514793419</v>
      </c>
      <c r="W4">
        <v>5.53947547294605</v>
      </c>
      <c r="X4">
        <v>4.14058785546806</v>
      </c>
      <c r="Y4">
        <v>319.688431278039</v>
      </c>
      <c r="Z4">
        <v>73.8329201018045</v>
      </c>
      <c r="AA4">
        <f aca="true" t="shared" si="1" ref="AA4:AA67">SUM(C4:N4)</f>
        <v>444.8689666932336</v>
      </c>
      <c r="AB4">
        <f aca="true" t="shared" si="2" ref="AB4:AB67">SUM(O4:Z4)</f>
        <v>825.7377913617772</v>
      </c>
      <c r="AC4">
        <f aca="true" t="shared" si="3" ref="AC4:AC67">(AA4-AB4)/AD4</f>
        <v>-0.5995070028614691</v>
      </c>
      <c r="AD4" s="3">
        <f t="shared" si="0"/>
        <v>635.3033790275055</v>
      </c>
      <c r="AE4" s="3">
        <f>AD4/SUM($AD$3:$AD$7)*100</f>
        <v>13.571326949234772</v>
      </c>
      <c r="AF4" s="3">
        <f>(AD4)/(AD9)</f>
        <v>21.240052591910686</v>
      </c>
      <c r="AL4" s="3">
        <f>(AD4*1000)/(Q_monthly_by_region!AA3/10000)</f>
        <v>18.980856491207177</v>
      </c>
      <c r="AY4" s="1" t="s">
        <v>149</v>
      </c>
      <c r="AZ4">
        <f>AD4/12.011</f>
        <v>52.89346257826205</v>
      </c>
      <c r="BA4">
        <f>AD14/14.0067</f>
        <v>10.10096202307829</v>
      </c>
      <c r="BB4">
        <f>AD34/30.9736</f>
        <v>0.6697694571782419</v>
      </c>
      <c r="BC4">
        <f>AD39/28.0855</f>
        <v>279.0872454412816</v>
      </c>
    </row>
    <row r="5" spans="1:55" ht="12.75">
      <c r="A5" t="s">
        <v>150</v>
      </c>
      <c r="B5" t="s">
        <v>254</v>
      </c>
      <c r="C5">
        <v>151.472589876238</v>
      </c>
      <c r="D5">
        <v>36.11494748891</v>
      </c>
      <c r="E5">
        <v>87.4462801141199</v>
      </c>
      <c r="F5">
        <v>118.440374111764</v>
      </c>
      <c r="G5">
        <v>62.7860218729583</v>
      </c>
      <c r="H5">
        <v>44.1407897083368</v>
      </c>
      <c r="I5">
        <v>22.5525148521593</v>
      </c>
      <c r="J5">
        <v>9.49339758887067</v>
      </c>
      <c r="K5">
        <v>9.4004566384984</v>
      </c>
      <c r="L5">
        <v>18.8856567948652</v>
      </c>
      <c r="M5">
        <v>47.9218460403452</v>
      </c>
      <c r="N5">
        <v>251.4525521621</v>
      </c>
      <c r="O5">
        <v>204.102050590242</v>
      </c>
      <c r="P5">
        <v>68.9078022226233</v>
      </c>
      <c r="Q5">
        <v>43.020020720587</v>
      </c>
      <c r="R5">
        <v>30.8626100205492</v>
      </c>
      <c r="S5">
        <v>18.7744015113837</v>
      </c>
      <c r="T5">
        <v>15.9639239459015</v>
      </c>
      <c r="U5">
        <v>9.34960746808454</v>
      </c>
      <c r="V5">
        <v>6.59875057960479</v>
      </c>
      <c r="W5">
        <v>7.21304170325256</v>
      </c>
      <c r="X5">
        <v>8.32024599050308</v>
      </c>
      <c r="Y5">
        <v>222.48051002793</v>
      </c>
      <c r="Z5">
        <v>393.675688164795</v>
      </c>
      <c r="AA5">
        <f t="shared" si="1"/>
        <v>860.1074272491659</v>
      </c>
      <c r="AB5">
        <f t="shared" si="2"/>
        <v>1029.2686529454566</v>
      </c>
      <c r="AC5">
        <f t="shared" si="3"/>
        <v>-0.17906570054476983</v>
      </c>
      <c r="AD5" s="3">
        <f t="shared" si="0"/>
        <v>944.6880400973113</v>
      </c>
      <c r="AE5" s="3">
        <f>AD5/SUM($AD$3:$AD$7)*100</f>
        <v>20.180390472372018</v>
      </c>
      <c r="AF5" s="3">
        <f>(AD5)/(AD10)</f>
        <v>30.534685846064125</v>
      </c>
      <c r="AL5" s="3">
        <f>(AD5*1000)/(Q_monthly_by_region!AA4/10000)</f>
        <v>16.35036676265218</v>
      </c>
      <c r="AY5" s="1" t="s">
        <v>254</v>
      </c>
      <c r="AZ5">
        <f>AD5/12.011</f>
        <v>78.65190576116154</v>
      </c>
      <c r="BA5">
        <f>AD15/14.0067</f>
        <v>8.730264525438143</v>
      </c>
      <c r="BB5">
        <f>AD35/30.9736</f>
        <v>0.1307186679190172</v>
      </c>
      <c r="BC5">
        <f>AD40/28.0855</f>
        <v>96.85705282731375</v>
      </c>
    </row>
    <row r="6" spans="1:55" ht="12.75">
      <c r="A6" t="s">
        <v>150</v>
      </c>
      <c r="B6" t="s">
        <v>255</v>
      </c>
      <c r="C6">
        <v>281.014850459298</v>
      </c>
      <c r="D6">
        <v>50.950918603908</v>
      </c>
      <c r="E6">
        <v>92.3623888951899</v>
      </c>
      <c r="F6">
        <v>159.302331587401</v>
      </c>
      <c r="G6">
        <v>69.8960572920309</v>
      </c>
      <c r="H6">
        <v>45.6938310016731</v>
      </c>
      <c r="I6">
        <v>26.2023021933088</v>
      </c>
      <c r="J6">
        <v>9.49318335588809</v>
      </c>
      <c r="K6">
        <v>7.17909521599425</v>
      </c>
      <c r="L6">
        <v>16.1623574317982</v>
      </c>
      <c r="M6">
        <v>80.2492491515844</v>
      </c>
      <c r="N6">
        <v>332.189742268705</v>
      </c>
      <c r="O6">
        <v>228.547352001284</v>
      </c>
      <c r="P6">
        <v>60.9635612608726</v>
      </c>
      <c r="Q6">
        <v>34.8793309167308</v>
      </c>
      <c r="R6">
        <v>39.7629053566506</v>
      </c>
      <c r="S6">
        <v>14.224041504545</v>
      </c>
      <c r="T6">
        <v>16.925023959692</v>
      </c>
      <c r="U6">
        <v>8.55158920916643</v>
      </c>
      <c r="V6">
        <v>5.18887801284748</v>
      </c>
      <c r="W6">
        <v>4.60670590391165</v>
      </c>
      <c r="X6">
        <v>4.14333823998389</v>
      </c>
      <c r="Y6">
        <v>152.103376624457</v>
      </c>
      <c r="Z6">
        <v>335.472183583638</v>
      </c>
      <c r="AA6">
        <f t="shared" si="1"/>
        <v>1170.6963074567798</v>
      </c>
      <c r="AB6">
        <f t="shared" si="2"/>
        <v>905.3682865737794</v>
      </c>
      <c r="AC6">
        <f t="shared" si="3"/>
        <v>0.25560671054832773</v>
      </c>
      <c r="AD6" s="3">
        <f t="shared" si="0"/>
        <v>1038.0322970152797</v>
      </c>
      <c r="AE6" s="3">
        <f>AD6/SUM($AD$3:$AD$7)*100</f>
        <v>22.174406986822625</v>
      </c>
      <c r="AF6" s="3">
        <f>(AD6)/(AD11)</f>
        <v>20.71351569855454</v>
      </c>
      <c r="AL6" s="3">
        <f>(AD6*1000)/(Q_monthly_by_region!AA5/10000)</f>
        <v>16.808788946104315</v>
      </c>
      <c r="AY6" s="1" t="s">
        <v>255</v>
      </c>
      <c r="AZ6">
        <f>AD6/12.011</f>
        <v>86.42346990386145</v>
      </c>
      <c r="BA6">
        <f>AD16/14.0067</f>
        <v>14.221587756869061</v>
      </c>
      <c r="BB6">
        <f>AD36/30.9736</f>
        <v>0.13370164678279936</v>
      </c>
      <c r="BC6">
        <f>AD41/28.0855</f>
        <v>101.29406142774509</v>
      </c>
    </row>
    <row r="7" spans="1:55" ht="12.75">
      <c r="A7" t="s">
        <v>150</v>
      </c>
      <c r="B7" t="s">
        <v>256</v>
      </c>
      <c r="C7">
        <v>139.910348410629</v>
      </c>
      <c r="D7">
        <v>54.3628422729529</v>
      </c>
      <c r="E7">
        <v>105.941900072209</v>
      </c>
      <c r="F7">
        <v>152.123364107687</v>
      </c>
      <c r="G7">
        <v>156.658405885122</v>
      </c>
      <c r="H7">
        <v>74.4824995641087</v>
      </c>
      <c r="I7">
        <v>25.5567358176503</v>
      </c>
      <c r="J7">
        <v>16.1510798876226</v>
      </c>
      <c r="K7">
        <v>13.9996839723468</v>
      </c>
      <c r="L7">
        <v>33.7854294947278</v>
      </c>
      <c r="M7">
        <v>72.2297474528954</v>
      </c>
      <c r="N7">
        <v>386.115929179239</v>
      </c>
      <c r="O7">
        <v>377.095126336632</v>
      </c>
      <c r="P7">
        <v>110.576333340238</v>
      </c>
      <c r="Q7">
        <v>167.681594082667</v>
      </c>
      <c r="R7">
        <v>116.656201085361</v>
      </c>
      <c r="S7">
        <v>162.114587586797</v>
      </c>
      <c r="T7">
        <v>92.6538858961197</v>
      </c>
      <c r="U7">
        <v>35.949820428043</v>
      </c>
      <c r="V7">
        <v>14.2506171526476</v>
      </c>
      <c r="W7">
        <v>10.179170718149</v>
      </c>
      <c r="X7">
        <v>11.3716741982931</v>
      </c>
      <c r="Y7">
        <v>494.825484699729</v>
      </c>
      <c r="Z7">
        <v>273.547557833335</v>
      </c>
      <c r="AA7">
        <f t="shared" si="1"/>
        <v>1231.3179661171905</v>
      </c>
      <c r="AB7">
        <f t="shared" si="2"/>
        <v>1866.9020533580115</v>
      </c>
      <c r="AC7">
        <f t="shared" si="3"/>
        <v>-0.4102898330303092</v>
      </c>
      <c r="AD7" s="3">
        <f t="shared" si="0"/>
        <v>1549.110009737601</v>
      </c>
      <c r="AE7" s="3">
        <f>AD7/SUM($AD$3:$AD$7)*100</f>
        <v>33.092029912800186</v>
      </c>
      <c r="AF7" s="3">
        <f>(AD7)/(AD12)</f>
        <v>22.884258636920745</v>
      </c>
      <c r="AL7" s="3">
        <f>(AD7*1000)/(Q_monthly_by_region!AA6/10000)</f>
        <v>15.727957120770217</v>
      </c>
      <c r="AM7" s="3">
        <f>(1000*SUM(AD3:AD7))/(2768.5*100)</f>
        <v>16.908859835884666</v>
      </c>
      <c r="AY7" s="1" t="s">
        <v>256</v>
      </c>
      <c r="AZ7">
        <f>AD7/12.011</f>
        <v>128.97427439327294</v>
      </c>
      <c r="BA7">
        <f>AD17/14.0067</f>
        <v>13.697598666986105</v>
      </c>
      <c r="BB7">
        <f>AD37/30.9736</f>
        <v>0.12301947831173761</v>
      </c>
      <c r="BC7">
        <f>AD42/28.0855</f>
        <v>243.73679375821845</v>
      </c>
    </row>
    <row r="8" spans="1:39" ht="12.75">
      <c r="A8" t="s">
        <v>151</v>
      </c>
      <c r="B8" t="s">
        <v>253</v>
      </c>
      <c r="C8">
        <v>0.808762212310438</v>
      </c>
      <c r="D8">
        <v>1.29173134180848</v>
      </c>
      <c r="E8">
        <v>0.446269315749038</v>
      </c>
      <c r="F8">
        <v>2.91390342569614</v>
      </c>
      <c r="G8">
        <v>1.94380551851299</v>
      </c>
      <c r="H8">
        <v>0.50539486668029</v>
      </c>
      <c r="I8">
        <v>0.107279669659066</v>
      </c>
      <c r="J8">
        <v>0.188885194117737</v>
      </c>
      <c r="K8">
        <v>2.93871746512636</v>
      </c>
      <c r="L8">
        <v>2.88514857492208</v>
      </c>
      <c r="M8">
        <v>5.18496263297724</v>
      </c>
      <c r="N8">
        <v>4.76962846387485</v>
      </c>
      <c r="O8">
        <v>7.44377440477602</v>
      </c>
      <c r="P8">
        <v>3.64624485596605</v>
      </c>
      <c r="Q8">
        <v>4.30448324361193</v>
      </c>
      <c r="R8">
        <v>1.67858557209799</v>
      </c>
      <c r="S8">
        <v>0.221454884940965</v>
      </c>
      <c r="T8">
        <v>0.219292343644403</v>
      </c>
      <c r="U8">
        <v>0.248857631854279</v>
      </c>
      <c r="V8">
        <v>0.24754430067258</v>
      </c>
      <c r="W8">
        <v>0.167536769772382</v>
      </c>
      <c r="X8">
        <v>0.071846288997758</v>
      </c>
      <c r="Y8">
        <v>1.37023816883774</v>
      </c>
      <c r="Z8">
        <v>3.66810853987262</v>
      </c>
      <c r="AA8">
        <f t="shared" si="1"/>
        <v>23.98448868143471</v>
      </c>
      <c r="AB8">
        <f t="shared" si="2"/>
        <v>23.287967005044717</v>
      </c>
      <c r="AC8">
        <f t="shared" si="3"/>
        <v>0.029468394069031057</v>
      </c>
      <c r="AD8" s="3">
        <f t="shared" si="0"/>
        <v>23.63622784323971</v>
      </c>
      <c r="AE8" s="3">
        <f>AD8/SUM($AD$8:$AD$12)*100</f>
        <v>11.684208368935034</v>
      </c>
      <c r="AG8" s="3">
        <f>AD8/AD13*100</f>
        <v>53.53977061372505</v>
      </c>
      <c r="AH8" s="1" t="s">
        <v>160</v>
      </c>
      <c r="AL8" s="3">
        <f>(AD8*1000)/(Q_monthly_by_region!AA7/10000)</f>
        <v>0.9323183421980709</v>
      </c>
      <c r="AM8" s="3"/>
    </row>
    <row r="9" spans="1:52" ht="12.75">
      <c r="A9" t="s">
        <v>151</v>
      </c>
      <c r="B9" t="s">
        <v>149</v>
      </c>
      <c r="C9">
        <v>2.84835901644523</v>
      </c>
      <c r="D9">
        <v>1.0269346001325</v>
      </c>
      <c r="E9">
        <v>1.19782090077424</v>
      </c>
      <c r="F9">
        <v>4.7544379659227</v>
      </c>
      <c r="G9">
        <v>1.95363777127324</v>
      </c>
      <c r="H9">
        <v>1.96814797783387</v>
      </c>
      <c r="I9">
        <v>0.973705927345753</v>
      </c>
      <c r="J9">
        <v>0.733111824492404</v>
      </c>
      <c r="K9">
        <v>0.398938699216259</v>
      </c>
      <c r="L9">
        <v>0.971326760118092</v>
      </c>
      <c r="M9">
        <v>0.988906441554916</v>
      </c>
      <c r="N9">
        <v>9.96872614450478</v>
      </c>
      <c r="O9">
        <v>7.54369855806485</v>
      </c>
      <c r="P9">
        <v>2.87657740948101</v>
      </c>
      <c r="Q9">
        <v>13.3328116512878</v>
      </c>
      <c r="R9">
        <v>0.408171752762065</v>
      </c>
      <c r="S9">
        <v>0.953555189636031</v>
      </c>
      <c r="T9">
        <v>1.66098922399723</v>
      </c>
      <c r="U9">
        <v>0.899362003086325</v>
      </c>
      <c r="V9">
        <v>0.475897620529599</v>
      </c>
      <c r="W9">
        <v>0.37666635254407</v>
      </c>
      <c r="X9">
        <v>0.112473945729377</v>
      </c>
      <c r="Y9">
        <v>-0.918225297261293</v>
      </c>
      <c r="Z9">
        <v>4.3152298929454</v>
      </c>
      <c r="AA9">
        <f t="shared" si="1"/>
        <v>27.784054029613984</v>
      </c>
      <c r="AB9">
        <f t="shared" si="2"/>
        <v>32.03720830280246</v>
      </c>
      <c r="AC9">
        <f t="shared" si="3"/>
        <v>-0.14219540368621555</v>
      </c>
      <c r="AD9" s="3">
        <f t="shared" si="0"/>
        <v>29.91063116620822</v>
      </c>
      <c r="AE9" s="3">
        <f>AD9/SUM($AD$8:$AD$12)*100</f>
        <v>14.785863857387712</v>
      </c>
      <c r="AG9" s="3">
        <f>AD9/AD14*100</f>
        <v>21.141072342267194</v>
      </c>
      <c r="AH9" s="1" t="s">
        <v>160</v>
      </c>
      <c r="AL9" s="3">
        <f>(AD9*1000)/(Q_monthly_by_region!AA8/10000)</f>
        <v>0.8936350985513131</v>
      </c>
      <c r="AM9" s="3"/>
      <c r="AZ9" t="s">
        <v>264</v>
      </c>
    </row>
    <row r="10" spans="1:52" ht="12.75">
      <c r="A10" t="s">
        <v>151</v>
      </c>
      <c r="B10" t="s">
        <v>254</v>
      </c>
      <c r="C10">
        <v>3.29274050682882</v>
      </c>
      <c r="D10">
        <v>1.4072542718183</v>
      </c>
      <c r="E10">
        <v>2.9932065606937</v>
      </c>
      <c r="F10">
        <v>4.92994823510208</v>
      </c>
      <c r="G10">
        <v>3.39334222385528</v>
      </c>
      <c r="H10">
        <v>4.16581750883251</v>
      </c>
      <c r="I10">
        <v>1.30091742518689</v>
      </c>
      <c r="J10">
        <v>0.504811647514353</v>
      </c>
      <c r="K10">
        <v>0.386954463459946</v>
      </c>
      <c r="L10">
        <v>0.927982113392549</v>
      </c>
      <c r="M10">
        <v>1.57939668964794</v>
      </c>
      <c r="N10">
        <v>7.0214932587392</v>
      </c>
      <c r="O10">
        <v>4.89595072889368</v>
      </c>
      <c r="P10">
        <v>2.36277648263263</v>
      </c>
      <c r="Q10">
        <v>2.34402793468919</v>
      </c>
      <c r="R10">
        <v>1.04729109055506</v>
      </c>
      <c r="S10">
        <v>1.35686856467181</v>
      </c>
      <c r="T10">
        <v>0.342923918086714</v>
      </c>
      <c r="U10">
        <v>0.505699126470991</v>
      </c>
      <c r="V10">
        <v>0.200314837032208</v>
      </c>
      <c r="W10">
        <v>0.245752809982576</v>
      </c>
      <c r="X10">
        <v>0.223066455731482</v>
      </c>
      <c r="Y10">
        <v>6.56939473392574</v>
      </c>
      <c r="Z10">
        <v>9.87845678316079</v>
      </c>
      <c r="AA10">
        <f t="shared" si="1"/>
        <v>31.903864905071565</v>
      </c>
      <c r="AB10">
        <f t="shared" si="2"/>
        <v>29.97252346583287</v>
      </c>
      <c r="AC10">
        <f t="shared" si="3"/>
        <v>0.062425797306128815</v>
      </c>
      <c r="AD10" s="3">
        <f t="shared" si="0"/>
        <v>30.938194185452218</v>
      </c>
      <c r="AE10" s="3">
        <f>AD10/SUM($AD$8:$AD$12)*100</f>
        <v>15.293823947664675</v>
      </c>
      <c r="AG10" s="3">
        <f>AD10/AD15*100</f>
        <v>25.300653050876193</v>
      </c>
      <c r="AH10" s="1" t="s">
        <v>160</v>
      </c>
      <c r="AL10" s="3">
        <f>(AD10*1000)/(Q_monthly_by_region!AA9/10000)</f>
        <v>0.5354686419595085</v>
      </c>
      <c r="AM10" s="3"/>
      <c r="AY10" s="1" t="s">
        <v>253</v>
      </c>
      <c r="AZ10">
        <f>AZ3/BA3</f>
        <v>13.57966907984082</v>
      </c>
    </row>
    <row r="11" spans="1:52" ht="12.75">
      <c r="A11" t="s">
        <v>151</v>
      </c>
      <c r="B11" t="s">
        <v>255</v>
      </c>
      <c r="C11">
        <v>9.77281751404586</v>
      </c>
      <c r="D11">
        <v>2.18055964280275</v>
      </c>
      <c r="E11">
        <v>5.10683864803846</v>
      </c>
      <c r="F11">
        <v>8.03295473654768</v>
      </c>
      <c r="G11">
        <v>5.24362374633899</v>
      </c>
      <c r="H11">
        <v>7.09335225517545</v>
      </c>
      <c r="I11">
        <v>0.85971155806777</v>
      </c>
      <c r="J11">
        <v>0.765909436232315</v>
      </c>
      <c r="K11">
        <v>0.299199323642343</v>
      </c>
      <c r="L11">
        <v>0.780155989034115</v>
      </c>
      <c r="M11">
        <v>3.01928115284274</v>
      </c>
      <c r="N11">
        <v>21.9614118457014</v>
      </c>
      <c r="O11">
        <v>5.52644441418729</v>
      </c>
      <c r="P11">
        <v>2.28937811124171</v>
      </c>
      <c r="Q11">
        <v>1.47255380174769</v>
      </c>
      <c r="R11">
        <v>1.55220004636025</v>
      </c>
      <c r="S11">
        <v>1.67564119292218</v>
      </c>
      <c r="T11">
        <v>0.264642541053081</v>
      </c>
      <c r="U11">
        <v>0.380857194463568</v>
      </c>
      <c r="V11">
        <v>1.15153560033994</v>
      </c>
      <c r="W11">
        <v>0.26779377776031</v>
      </c>
      <c r="X11">
        <v>0.1603579797436</v>
      </c>
      <c r="Y11">
        <v>5.36028691120287</v>
      </c>
      <c r="Z11">
        <v>15.0100263436647</v>
      </c>
      <c r="AA11">
        <f t="shared" si="1"/>
        <v>65.11581584846986</v>
      </c>
      <c r="AB11">
        <f t="shared" si="2"/>
        <v>35.11171791468719</v>
      </c>
      <c r="AC11">
        <f t="shared" si="3"/>
        <v>0.598719669281376</v>
      </c>
      <c r="AD11" s="3">
        <f t="shared" si="0"/>
        <v>50.113766881578535</v>
      </c>
      <c r="AE11" s="3">
        <f>AD11/SUM($AD$8:$AD$12)*100</f>
        <v>24.77297554753737</v>
      </c>
      <c r="AG11" s="3">
        <f>AD11/AD16*100</f>
        <v>25.1578275591596</v>
      </c>
      <c r="AH11" s="1" t="s">
        <v>160</v>
      </c>
      <c r="AL11" s="3">
        <f>(AD11*1000)/(Q_monthly_by_region!AA10/10000)</f>
        <v>0.8114889423275107</v>
      </c>
      <c r="AM11" s="3"/>
      <c r="AY11" s="1" t="s">
        <v>149</v>
      </c>
      <c r="AZ11">
        <f>AZ4/BA4</f>
        <v>5.2364777193907965</v>
      </c>
    </row>
    <row r="12" spans="1:52" ht="12.75">
      <c r="A12" t="s">
        <v>151</v>
      </c>
      <c r="B12" t="s">
        <v>256</v>
      </c>
      <c r="C12">
        <v>4.52968664179153</v>
      </c>
      <c r="D12">
        <v>1.24338315414411</v>
      </c>
      <c r="E12">
        <v>6.64971566215368</v>
      </c>
      <c r="F12">
        <v>11.3227341032711</v>
      </c>
      <c r="G12">
        <v>6.45956563944944</v>
      </c>
      <c r="H12">
        <v>3.88917579628678</v>
      </c>
      <c r="I12">
        <v>1.8866876852377</v>
      </c>
      <c r="J12">
        <v>1.23991984222872</v>
      </c>
      <c r="K12">
        <v>1.13110645165149</v>
      </c>
      <c r="L12">
        <v>1.03489585822223</v>
      </c>
      <c r="M12">
        <v>4.10694227939355</v>
      </c>
      <c r="N12">
        <v>23.3877325115027</v>
      </c>
      <c r="O12">
        <v>7.07345536425875</v>
      </c>
      <c r="P12">
        <v>6.76318233417957</v>
      </c>
      <c r="Q12">
        <v>11.7575402406354</v>
      </c>
      <c r="R12">
        <v>6.97080157587783</v>
      </c>
      <c r="S12">
        <v>6.41231257895672</v>
      </c>
      <c r="T12">
        <v>1.21092581299504</v>
      </c>
      <c r="U12">
        <v>2.06929279646005</v>
      </c>
      <c r="V12">
        <v>0.583052965882675</v>
      </c>
      <c r="W12">
        <v>0.483052087544075</v>
      </c>
      <c r="X12">
        <v>0.341076109448705</v>
      </c>
      <c r="Y12">
        <v>22.862085837863</v>
      </c>
      <c r="Z12">
        <v>1.97819141990603</v>
      </c>
      <c r="AA12">
        <f t="shared" si="1"/>
        <v>66.88154562533303</v>
      </c>
      <c r="AB12">
        <f t="shared" si="2"/>
        <v>68.50496912400784</v>
      </c>
      <c r="AC12">
        <f t="shared" si="3"/>
        <v>-0.023982056140236283</v>
      </c>
      <c r="AD12" s="3">
        <f t="shared" si="0"/>
        <v>67.69325737467045</v>
      </c>
      <c r="AE12" s="3">
        <f>AD12/SUM($AD$8:$AD$12)*100</f>
        <v>33.46312827847521</v>
      </c>
      <c r="AF12" s="13"/>
      <c r="AG12" s="3">
        <f>AD12/AD17*100</f>
        <v>35.28297105059736</v>
      </c>
      <c r="AH12" s="1" t="s">
        <v>160</v>
      </c>
      <c r="AL12" s="3">
        <f>(AD12*1000)/(Q_monthly_by_region!AA11/10000)</f>
        <v>0.6872827898997448</v>
      </c>
      <c r="AM12" s="3">
        <f>(1000*SUM(AD8:AD12))/(2768.5*100)</f>
        <v>0.730691990070974</v>
      </c>
      <c r="AY12" s="1" t="s">
        <v>254</v>
      </c>
      <c r="AZ12">
        <f>AZ5/BA5</f>
        <v>9.009109120575504</v>
      </c>
    </row>
    <row r="13" spans="1:52" ht="12.75">
      <c r="A13" t="s">
        <v>152</v>
      </c>
      <c r="B13" t="s">
        <v>253</v>
      </c>
      <c r="C13">
        <v>4.24711724870203</v>
      </c>
      <c r="D13">
        <v>1.68979064447443</v>
      </c>
      <c r="E13">
        <v>1.20953317855961</v>
      </c>
      <c r="F13">
        <v>4.98627334516947</v>
      </c>
      <c r="G13">
        <v>3.70863361905038</v>
      </c>
      <c r="H13">
        <v>0.910346633382266</v>
      </c>
      <c r="I13">
        <v>0.441255226020448</v>
      </c>
      <c r="J13">
        <v>0.390344042162498</v>
      </c>
      <c r="K13">
        <v>3.80964166557456</v>
      </c>
      <c r="L13">
        <v>4.49427861442372</v>
      </c>
      <c r="M13">
        <v>8.11189052995371</v>
      </c>
      <c r="N13">
        <v>8.11659057666656</v>
      </c>
      <c r="O13">
        <v>13.9037342743968</v>
      </c>
      <c r="P13">
        <v>7.04039901518887</v>
      </c>
      <c r="Q13">
        <v>6.31065103662369</v>
      </c>
      <c r="R13">
        <v>3.0711849822443</v>
      </c>
      <c r="S13">
        <v>0.323953587998594</v>
      </c>
      <c r="T13">
        <v>1.15936905032945</v>
      </c>
      <c r="U13">
        <v>1.02358378749438</v>
      </c>
      <c r="V13">
        <v>0.287764386351429</v>
      </c>
      <c r="W13">
        <v>0.190385270999884</v>
      </c>
      <c r="X13">
        <v>0.154248075357491</v>
      </c>
      <c r="Y13">
        <v>4.11343245345362</v>
      </c>
      <c r="Z13">
        <v>8.5996933034493</v>
      </c>
      <c r="AA13">
        <f t="shared" si="1"/>
        <v>42.11569532413968</v>
      </c>
      <c r="AB13">
        <f t="shared" si="2"/>
        <v>46.17839922388781</v>
      </c>
      <c r="AC13">
        <f t="shared" si="3"/>
        <v>-0.09202662806714046</v>
      </c>
      <c r="AD13" s="3">
        <f t="shared" si="0"/>
        <v>44.14704727401374</v>
      </c>
      <c r="AE13" s="3">
        <f>AD13/SUM($AD$13:$AD$17)*100</f>
        <v>6.316050236450751</v>
      </c>
      <c r="AL13" s="3">
        <f>(AD13*1000)/(Q_monthly_by_region!AA12/10000)</f>
        <v>1.7413566242644094</v>
      </c>
      <c r="AM13" s="3"/>
      <c r="AY13" s="1" t="s">
        <v>255</v>
      </c>
      <c r="AZ13">
        <f>AZ6/BA6</f>
        <v>6.076921324211406</v>
      </c>
    </row>
    <row r="14" spans="1:52" ht="12.75">
      <c r="A14" t="s">
        <v>152</v>
      </c>
      <c r="B14" t="s">
        <v>149</v>
      </c>
      <c r="C14">
        <v>18.5639801453961</v>
      </c>
      <c r="D14">
        <v>3.82967463911769</v>
      </c>
      <c r="E14">
        <v>9.2503776409554</v>
      </c>
      <c r="F14">
        <v>10.337887951372</v>
      </c>
      <c r="G14">
        <v>6.66266633176069</v>
      </c>
      <c r="H14">
        <v>3.04584799631089</v>
      </c>
      <c r="I14">
        <v>2.11264751954667</v>
      </c>
      <c r="J14">
        <v>1.38608436068839</v>
      </c>
      <c r="K14">
        <v>1.1041051546746</v>
      </c>
      <c r="L14">
        <v>3.34679140133543</v>
      </c>
      <c r="M14">
        <v>13.4397215078982</v>
      </c>
      <c r="N14">
        <v>51.940581004123</v>
      </c>
      <c r="O14">
        <v>51.3772911447685</v>
      </c>
      <c r="P14">
        <v>15.5732989656912</v>
      </c>
      <c r="Q14">
        <v>14.8589176931643</v>
      </c>
      <c r="R14">
        <v>3.81157247955947</v>
      </c>
      <c r="S14">
        <v>3.57140159116129</v>
      </c>
      <c r="T14">
        <v>2.81562918540094</v>
      </c>
      <c r="U14">
        <v>1.95134367742239</v>
      </c>
      <c r="V14">
        <v>1.28900025540425</v>
      </c>
      <c r="W14">
        <v>0.82014389986115</v>
      </c>
      <c r="X14">
        <v>0.68263124629012</v>
      </c>
      <c r="Y14">
        <v>33.543779875862</v>
      </c>
      <c r="Z14">
        <v>27.6469138695367</v>
      </c>
      <c r="AA14">
        <f t="shared" si="1"/>
        <v>125.02036565317906</v>
      </c>
      <c r="AB14">
        <f t="shared" si="2"/>
        <v>157.9419238841223</v>
      </c>
      <c r="AC14">
        <f t="shared" si="3"/>
        <v>-0.232692195732346</v>
      </c>
      <c r="AD14" s="3">
        <f t="shared" si="0"/>
        <v>141.4811447686507</v>
      </c>
      <c r="AE14" s="3">
        <f>AD14/SUM($AD$13:$AD$17)*100</f>
        <v>20.24149004400935</v>
      </c>
      <c r="AF14" s="11"/>
      <c r="AL14" s="3">
        <f>(AD14*1000)/(Q_monthly_by_region!AA13/10000)</f>
        <v>4.227009321398873</v>
      </c>
      <c r="AM14" s="3"/>
      <c r="AY14" s="1" t="s">
        <v>256</v>
      </c>
      <c r="AZ14">
        <f>AZ7/BA7</f>
        <v>9.415831017456089</v>
      </c>
    </row>
    <row r="15" spans="1:39" ht="12.75">
      <c r="A15" t="s">
        <v>152</v>
      </c>
      <c r="B15" t="s">
        <v>254</v>
      </c>
      <c r="C15">
        <v>22.75882362914</v>
      </c>
      <c r="D15">
        <v>7.17777162090146</v>
      </c>
      <c r="E15">
        <v>13.6412533529344</v>
      </c>
      <c r="F15">
        <v>14.5965576577058</v>
      </c>
      <c r="G15">
        <v>7.50021144627192</v>
      </c>
      <c r="H15">
        <v>6.93559729657274</v>
      </c>
      <c r="I15">
        <v>3.85860424718391</v>
      </c>
      <c r="J15">
        <v>1.52778083604343</v>
      </c>
      <c r="K15">
        <v>1.25804984155592</v>
      </c>
      <c r="L15">
        <v>2.47184183659156</v>
      </c>
      <c r="M15">
        <v>9.28300267121592</v>
      </c>
      <c r="N15">
        <v>33.8344257712722</v>
      </c>
      <c r="O15">
        <v>26.9849379949934</v>
      </c>
      <c r="P15">
        <v>11.4575330784816</v>
      </c>
      <c r="Q15">
        <v>5.42403132281356</v>
      </c>
      <c r="R15">
        <v>3.97860024862066</v>
      </c>
      <c r="S15">
        <v>2.66838037818056</v>
      </c>
      <c r="T15">
        <v>1.67160375228302</v>
      </c>
      <c r="U15">
        <v>1.41570285767925</v>
      </c>
      <c r="V15">
        <v>1.02897610778079</v>
      </c>
      <c r="W15">
        <v>0.898877553356734</v>
      </c>
      <c r="X15">
        <v>1.18945114925565</v>
      </c>
      <c r="Y15">
        <v>23.9193634729236</v>
      </c>
      <c r="Z15">
        <v>39.0830141331508</v>
      </c>
      <c r="AA15">
        <f t="shared" si="1"/>
        <v>124.84392020738926</v>
      </c>
      <c r="AB15">
        <f t="shared" si="2"/>
        <v>119.72047204951961</v>
      </c>
      <c r="AC15">
        <f t="shared" si="3"/>
        <v>0.04189856185186264</v>
      </c>
      <c r="AD15" s="3">
        <f t="shared" si="0"/>
        <v>122.28219612845444</v>
      </c>
      <c r="AE15" s="3">
        <f>AD15/SUM($AD$13:$AD$17)*100</f>
        <v>17.4947259547631</v>
      </c>
      <c r="AL15" s="3">
        <f>(AD15*1000)/(Q_monthly_by_region!AA14/10000)</f>
        <v>2.1164222159908417</v>
      </c>
      <c r="AM15" s="3"/>
    </row>
    <row r="16" spans="1:39" ht="12.75">
      <c r="A16" t="s">
        <v>152</v>
      </c>
      <c r="B16" t="s">
        <v>255</v>
      </c>
      <c r="C16">
        <v>51.5345807946837</v>
      </c>
      <c r="D16">
        <v>12.6850239234753</v>
      </c>
      <c r="E16">
        <v>23.6212956781897</v>
      </c>
      <c r="F16">
        <v>27.7117015910056</v>
      </c>
      <c r="G16">
        <v>15.3890956859891</v>
      </c>
      <c r="H16">
        <v>15.2295160971099</v>
      </c>
      <c r="I16">
        <v>7.41766688316857</v>
      </c>
      <c r="J16">
        <v>3.30474587333616</v>
      </c>
      <c r="K16">
        <v>2.44201606781964</v>
      </c>
      <c r="L16">
        <v>3.98351998225891</v>
      </c>
      <c r="M16">
        <v>18.20117312317</v>
      </c>
      <c r="N16">
        <v>51.2494397100129</v>
      </c>
      <c r="O16">
        <v>37.2303570192793</v>
      </c>
      <c r="P16">
        <v>18.1817356480703</v>
      </c>
      <c r="Q16">
        <v>8.57478352449254</v>
      </c>
      <c r="R16">
        <v>7.73636023063692</v>
      </c>
      <c r="S16">
        <v>4.39447102487259</v>
      </c>
      <c r="T16">
        <v>3.48286430779734</v>
      </c>
      <c r="U16">
        <v>2.41717745615789</v>
      </c>
      <c r="V16">
        <v>1.97925572158396</v>
      </c>
      <c r="W16">
        <v>1.57271121806578</v>
      </c>
      <c r="X16">
        <v>1.73500957272709</v>
      </c>
      <c r="Y16">
        <v>24.3859791372842</v>
      </c>
      <c r="Z16">
        <v>53.9345461970883</v>
      </c>
      <c r="AA16">
        <f t="shared" si="1"/>
        <v>232.76977541021952</v>
      </c>
      <c r="AB16">
        <f t="shared" si="2"/>
        <v>165.6252510580562</v>
      </c>
      <c r="AC16">
        <f t="shared" si="3"/>
        <v>0.33707511334863544</v>
      </c>
      <c r="AD16" s="3">
        <f t="shared" si="0"/>
        <v>199.1975132341379</v>
      </c>
      <c r="AE16" s="3">
        <f>AD16/SUM($AD$13:$AD$17)*100</f>
        <v>28.49888221864065</v>
      </c>
      <c r="AL16" s="3">
        <f>(AD16*1000)/(Q_monthly_by_region!AA15/10000)</f>
        <v>3.2255922750852117</v>
      </c>
      <c r="AM16" s="3"/>
    </row>
    <row r="17" spans="1:39" ht="12.75">
      <c r="A17" t="s">
        <v>152</v>
      </c>
      <c r="B17" t="s">
        <v>256</v>
      </c>
      <c r="C17">
        <v>18.4656117568265</v>
      </c>
      <c r="D17">
        <v>5.22449637348099</v>
      </c>
      <c r="E17">
        <v>17.1007627979091</v>
      </c>
      <c r="F17">
        <v>21.7697133492006</v>
      </c>
      <c r="G17">
        <v>13.67031836195</v>
      </c>
      <c r="H17">
        <v>7.09131106596843</v>
      </c>
      <c r="I17">
        <v>4.5361872373587</v>
      </c>
      <c r="J17">
        <v>2.28810456256667</v>
      </c>
      <c r="K17">
        <v>2.60378198868442</v>
      </c>
      <c r="L17">
        <v>4.03178042669131</v>
      </c>
      <c r="M17">
        <v>14.8876009864105</v>
      </c>
      <c r="N17">
        <v>63.2865354907</v>
      </c>
      <c r="O17">
        <v>45.7608966422289</v>
      </c>
      <c r="P17">
        <v>21.4603036945032</v>
      </c>
      <c r="Q17">
        <v>17.6855604919989</v>
      </c>
      <c r="R17">
        <v>14.6118044609092</v>
      </c>
      <c r="S17">
        <v>14.7836795538061</v>
      </c>
      <c r="T17">
        <v>5.95834681945358</v>
      </c>
      <c r="U17">
        <v>4.77530057946504</v>
      </c>
      <c r="V17">
        <v>1.67274770748468</v>
      </c>
      <c r="W17">
        <v>1.77626991120723</v>
      </c>
      <c r="X17">
        <v>2.19991897449214</v>
      </c>
      <c r="Y17">
        <v>56.313109999949</v>
      </c>
      <c r="Z17">
        <v>21.7621672645033</v>
      </c>
      <c r="AA17">
        <f t="shared" si="1"/>
        <v>174.95620439774723</v>
      </c>
      <c r="AB17">
        <f t="shared" si="2"/>
        <v>208.76010610000125</v>
      </c>
      <c r="AC17">
        <f t="shared" si="3"/>
        <v>-0.17619215434655008</v>
      </c>
      <c r="AD17" s="3">
        <f t="shared" si="0"/>
        <v>191.85815524887428</v>
      </c>
      <c r="AE17" s="3">
        <f>AD17/SUM($AD$13:$AD$17)*100</f>
        <v>27.448851546136144</v>
      </c>
      <c r="AF17" s="142" t="s">
        <v>643</v>
      </c>
      <c r="AL17" s="3">
        <f>(AD17*1000)/(Q_monthly_by_region!AA16/10000)</f>
        <v>1.947916429470042</v>
      </c>
      <c r="AM17" s="3">
        <f>(1000*SUM(AD13:AD17))/(2768.5*100)</f>
        <v>2.5247103364787105</v>
      </c>
    </row>
    <row r="18" spans="1:39" ht="12.75">
      <c r="A18" t="s">
        <v>153</v>
      </c>
      <c r="B18" t="s">
        <v>253</v>
      </c>
      <c r="C18">
        <v>2.18642671471068</v>
      </c>
      <c r="D18">
        <v>0.285125581621396</v>
      </c>
      <c r="E18">
        <v>0.423579157523526</v>
      </c>
      <c r="F18">
        <v>1.24956272455865</v>
      </c>
      <c r="G18">
        <v>0.885635407009434</v>
      </c>
      <c r="H18">
        <v>0.241519566411325</v>
      </c>
      <c r="I18">
        <v>0.124501750812156</v>
      </c>
      <c r="J18">
        <v>0.133398849148101</v>
      </c>
      <c r="K18">
        <v>0.484809061293073</v>
      </c>
      <c r="L18">
        <v>0.942617419218444</v>
      </c>
      <c r="M18">
        <v>1.78661985752103</v>
      </c>
      <c r="N18">
        <v>2.5781319246657</v>
      </c>
      <c r="O18">
        <v>4.11869015130025</v>
      </c>
      <c r="P18">
        <v>2.55238720239527</v>
      </c>
      <c r="Q18">
        <v>1.48675165644876</v>
      </c>
      <c r="R18">
        <v>0.761799241487863</v>
      </c>
      <c r="S18">
        <v>0.081963396753465</v>
      </c>
      <c r="T18">
        <v>0.160612096130664</v>
      </c>
      <c r="U18">
        <v>0.054880066661679</v>
      </c>
      <c r="V18">
        <v>0.023632144590302</v>
      </c>
      <c r="W18">
        <v>0.019295751748832</v>
      </c>
      <c r="X18">
        <v>0.064901366583612</v>
      </c>
      <c r="Y18">
        <v>2.30360574447509</v>
      </c>
      <c r="Z18">
        <v>4.57415840473163</v>
      </c>
      <c r="AA18">
        <f t="shared" si="1"/>
        <v>11.321928014493514</v>
      </c>
      <c r="AB18">
        <f t="shared" si="2"/>
        <v>16.20267722330742</v>
      </c>
      <c r="AC18">
        <f t="shared" si="3"/>
        <v>-0.35464626407145894</v>
      </c>
      <c r="AD18" s="3">
        <f t="shared" si="0"/>
        <v>13.762302618900463</v>
      </c>
      <c r="AE18" s="3">
        <f>AD18/SUM($AD$18:$AD$22)*100</f>
        <v>3.0774400592491102</v>
      </c>
      <c r="AF18" s="142">
        <v>105</v>
      </c>
      <c r="AG18" s="2">
        <f>AD18/AD13*100</f>
        <v>31.17377824496399</v>
      </c>
      <c r="AH18" s="1" t="s">
        <v>159</v>
      </c>
      <c r="AL18" s="3">
        <f>(AD18*1000)/(Q_monthly_by_region!AA17/10000)</f>
        <v>0.5428466525021779</v>
      </c>
      <c r="AM18" s="3"/>
    </row>
    <row r="19" spans="1:48" ht="12.75">
      <c r="A19" t="s">
        <v>153</v>
      </c>
      <c r="B19" t="s">
        <v>149</v>
      </c>
      <c r="C19">
        <v>12.6474619097833</v>
      </c>
      <c r="D19">
        <v>2.61043449645701</v>
      </c>
      <c r="E19">
        <v>7.43173716730483</v>
      </c>
      <c r="F19">
        <v>5.00019891183896</v>
      </c>
      <c r="G19">
        <v>4.26682201552362</v>
      </c>
      <c r="H19">
        <v>0.953583250405965</v>
      </c>
      <c r="I19">
        <v>0.99762750868863</v>
      </c>
      <c r="J19">
        <v>0.58009073330344</v>
      </c>
      <c r="K19">
        <v>0.550663270219793</v>
      </c>
      <c r="L19">
        <v>1.68615414683408</v>
      </c>
      <c r="M19">
        <v>9.83573230867132</v>
      </c>
      <c r="N19">
        <v>33.8222327837589</v>
      </c>
      <c r="O19">
        <v>40.6017677053931</v>
      </c>
      <c r="P19">
        <v>11.4049184628633</v>
      </c>
      <c r="Q19">
        <v>1.34577262726211</v>
      </c>
      <c r="R19">
        <v>3.04598989644914</v>
      </c>
      <c r="S19">
        <v>2.28673823362847</v>
      </c>
      <c r="T19">
        <v>1.0085166928761</v>
      </c>
      <c r="U19">
        <v>0.799665580957051</v>
      </c>
      <c r="V19">
        <v>0.682264555147597</v>
      </c>
      <c r="W19">
        <v>0.298538723714535</v>
      </c>
      <c r="X19">
        <v>0.5347052335636</v>
      </c>
      <c r="Y19">
        <v>27.7191592483946</v>
      </c>
      <c r="Z19">
        <v>19.3911314420897</v>
      </c>
      <c r="AA19">
        <f t="shared" si="1"/>
        <v>80.38273850278983</v>
      </c>
      <c r="AB19">
        <f t="shared" si="2"/>
        <v>109.11916840233931</v>
      </c>
      <c r="AC19">
        <f t="shared" si="3"/>
        <v>-0.30328380720660375</v>
      </c>
      <c r="AD19" s="3">
        <f t="shared" si="0"/>
        <v>94.75095345256457</v>
      </c>
      <c r="AE19" s="3">
        <f>AD19/SUM($AD$18:$AD$22)*100</f>
        <v>21.18761575599379</v>
      </c>
      <c r="AF19" s="142">
        <f>AF18*320/1000000000000*1000*365.25*86400</f>
        <v>1060.33536</v>
      </c>
      <c r="AG19" s="2">
        <f>AD19/AD14*100</f>
        <v>66.97072857835641</v>
      </c>
      <c r="AH19" s="1" t="s">
        <v>159</v>
      </c>
      <c r="AL19" s="3">
        <f>(AD19*1000)/(Q_monthly_by_region!AA18/10000)</f>
        <v>2.8308589396158643</v>
      </c>
      <c r="AM19" s="3"/>
      <c r="AO19" s="1" t="s">
        <v>640</v>
      </c>
      <c r="AP19" s="1"/>
      <c r="AQ19" s="1">
        <v>2005</v>
      </c>
      <c r="AR19" s="1">
        <v>2006</v>
      </c>
      <c r="AS19" s="1" t="s">
        <v>88</v>
      </c>
      <c r="AT19" s="1"/>
      <c r="AU19" s="1"/>
      <c r="AV19" s="1"/>
    </row>
    <row r="20" spans="1:51" ht="17.25">
      <c r="A20" t="s">
        <v>153</v>
      </c>
      <c r="B20" t="s">
        <v>254</v>
      </c>
      <c r="C20">
        <v>18.1127775252804</v>
      </c>
      <c r="D20">
        <v>5.40894880390224</v>
      </c>
      <c r="E20">
        <v>9.95511071138392</v>
      </c>
      <c r="F20">
        <v>9.2314802939195</v>
      </c>
      <c r="G20">
        <v>3.95485194886289</v>
      </c>
      <c r="H20">
        <v>2.61776278174786</v>
      </c>
      <c r="I20">
        <v>2.45206886522731</v>
      </c>
      <c r="J20">
        <v>0.920840296404967</v>
      </c>
      <c r="K20">
        <v>0.726061480045527</v>
      </c>
      <c r="L20">
        <v>1.34187537244713</v>
      </c>
      <c r="M20">
        <v>6.90899618070523</v>
      </c>
      <c r="N20">
        <v>25.1546626457549</v>
      </c>
      <c r="O20">
        <v>21.2368224519137</v>
      </c>
      <c r="P20">
        <v>8.66153229197268</v>
      </c>
      <c r="Q20">
        <v>2.92069735970654</v>
      </c>
      <c r="R20">
        <v>2.6563342779708</v>
      </c>
      <c r="S20">
        <v>1.79423948132418</v>
      </c>
      <c r="T20">
        <v>1.22202747161152</v>
      </c>
      <c r="U20">
        <v>0.896327092033002</v>
      </c>
      <c r="V20">
        <v>0.737774088287326</v>
      </c>
      <c r="W20">
        <v>0.59475449173286</v>
      </c>
      <c r="X20">
        <v>0.81570108231988</v>
      </c>
      <c r="Y20">
        <v>15.7410756809776</v>
      </c>
      <c r="Z20">
        <v>27.2907950912269</v>
      </c>
      <c r="AA20">
        <f t="shared" si="1"/>
        <v>86.78543690568189</v>
      </c>
      <c r="AB20">
        <f t="shared" si="2"/>
        <v>84.568080861077</v>
      </c>
      <c r="AC20">
        <f t="shared" si="3"/>
        <v>0.025880484667062335</v>
      </c>
      <c r="AD20" s="3">
        <f t="shared" si="0"/>
        <v>85.67675888337943</v>
      </c>
      <c r="AE20" s="3">
        <f>AD20/SUM($AD$18:$AD$22)*100</f>
        <v>19.15850110520273</v>
      </c>
      <c r="AG20" s="2">
        <f>AD20/AD15*100</f>
        <v>70.06478587723277</v>
      </c>
      <c r="AH20" s="1" t="s">
        <v>159</v>
      </c>
      <c r="AL20" s="3">
        <f>(AD20*1000)/(Q_monthly_by_region!AA19/10000)</f>
        <v>1.4828666938921682</v>
      </c>
      <c r="AM20" s="3"/>
      <c r="AO20" s="135" t="s">
        <v>150</v>
      </c>
      <c r="AP20" s="138">
        <f>SUM(AD3:AD7)</f>
        <v>4681.21784556467</v>
      </c>
      <c r="AQ20" s="138">
        <f>SUM(C3:N7)</f>
        <v>4202.17235863591</v>
      </c>
      <c r="AR20" s="138">
        <f>SUM(O3:Z7)</f>
        <v>5160.263332493427</v>
      </c>
      <c r="AS20" s="240">
        <f>(AR20-AQ20)/AP20</f>
        <v>0.20466703440543413</v>
      </c>
      <c r="AT20" s="241">
        <f>(-AVERAGE(Q_monthly_by_region!AD2:AO2)+AVERAGE(Q_monthly_by_region!AP2:BA2))</f>
        <v>1297.631605731921</v>
      </c>
      <c r="AU20" s="138" t="s">
        <v>89</v>
      </c>
      <c r="AV20" s="218">
        <f>AP20/AP32</f>
        <v>0.6706640184715279</v>
      </c>
      <c r="AW20" s="218">
        <f>AQ20/AQ32</f>
        <v>0.7147077169672515</v>
      </c>
      <c r="AX20" s="218">
        <f>AR20/AR32</f>
        <v>0.638616286710553</v>
      </c>
      <c r="AY20" t="s">
        <v>796</v>
      </c>
    </row>
    <row r="21" spans="1:51" ht="17.25">
      <c r="A21" t="s">
        <v>153</v>
      </c>
      <c r="B21" t="s">
        <v>255</v>
      </c>
      <c r="C21">
        <v>40.0146956881932</v>
      </c>
      <c r="D21">
        <v>10.269551478573</v>
      </c>
      <c r="E21">
        <v>17.894468043869</v>
      </c>
      <c r="F21">
        <v>19.2291612383874</v>
      </c>
      <c r="G21">
        <v>10.0276226377753</v>
      </c>
      <c r="H21">
        <v>7.98267078893961</v>
      </c>
      <c r="I21">
        <v>6.50711110980698</v>
      </c>
      <c r="J21">
        <v>2.42768737537908</v>
      </c>
      <c r="K21">
        <v>1.94991006206801</v>
      </c>
      <c r="L21">
        <v>2.84356933246617</v>
      </c>
      <c r="M21">
        <v>14.5706003348414</v>
      </c>
      <c r="N21">
        <v>27.3545228324688</v>
      </c>
      <c r="O21">
        <v>30.8256754287475</v>
      </c>
      <c r="P21">
        <v>15.6390047223628</v>
      </c>
      <c r="Q21">
        <v>6.98357649391169</v>
      </c>
      <c r="R21">
        <v>5.99158543953695</v>
      </c>
      <c r="S21">
        <v>3.46011316790321</v>
      </c>
      <c r="T21">
        <v>3.11549033732117</v>
      </c>
      <c r="U21">
        <v>2.19881133568765</v>
      </c>
      <c r="V21">
        <v>0.77318861590928</v>
      </c>
      <c r="W21">
        <v>1.24771468485733</v>
      </c>
      <c r="X21">
        <v>1.37222696267155</v>
      </c>
      <c r="Y21">
        <v>17.1356248762318</v>
      </c>
      <c r="Z21">
        <v>37.2789644553958</v>
      </c>
      <c r="AA21">
        <f t="shared" si="1"/>
        <v>161.07157092276796</v>
      </c>
      <c r="AB21">
        <f t="shared" si="2"/>
        <v>126.02197652053673</v>
      </c>
      <c r="AC21">
        <f t="shared" si="3"/>
        <v>0.2441684580817884</v>
      </c>
      <c r="AD21" s="3">
        <f t="shared" si="0"/>
        <v>143.54677372165236</v>
      </c>
      <c r="AE21" s="3">
        <f>AD21/SUM($AD$18:$AD$22)*100</f>
        <v>32.099031975964095</v>
      </c>
      <c r="AG21" s="2">
        <f>AD21/AD16*100</f>
        <v>72.0625330060856</v>
      </c>
      <c r="AH21" s="1" t="s">
        <v>159</v>
      </c>
      <c r="AL21" s="3">
        <f>(AD21*1000)/(Q_monthly_by_region!AA20/10000)</f>
        <v>2.324443497875029</v>
      </c>
      <c r="AM21" s="3"/>
      <c r="AO21" s="135" t="s">
        <v>151</v>
      </c>
      <c r="AP21" s="138">
        <f>SUM(AD8:AD12)</f>
        <v>202.29207745114914</v>
      </c>
      <c r="AQ21" s="138">
        <f>SUM(C8:N12)</f>
        <v>215.66976908992314</v>
      </c>
      <c r="AR21" s="138">
        <f>SUM(O8:Z12)</f>
        <v>188.91438581237506</v>
      </c>
      <c r="AS21" s="240">
        <f aca="true" t="shared" si="4" ref="AS21:AS33">(AR21-AQ21)/AP21</f>
        <v>-0.13226115236277183</v>
      </c>
      <c r="AT21" s="217">
        <f>(-AVERAGE(Q_monthly_by_region!AD2:AO2)+AVERAGE(Q_monthly_by_region!AP2:BA2))/AVERAGE(Q_monthly_by_region!AD2:BA2)</f>
        <v>0.25198000674960236</v>
      </c>
      <c r="AU21" s="138" t="s">
        <v>90</v>
      </c>
      <c r="AV21" s="218">
        <f>AP21/AP31</f>
        <v>0.21859292005169034</v>
      </c>
      <c r="AW21" s="218">
        <f>AQ21/$AQ$31</f>
        <v>0.2503503016470027</v>
      </c>
      <c r="AX21" s="218">
        <f>AR21/$AR$31</f>
        <v>0.19094129413415029</v>
      </c>
      <c r="AY21" t="s">
        <v>797</v>
      </c>
    </row>
    <row r="22" spans="1:52" ht="17.25">
      <c r="A22" t="s">
        <v>153</v>
      </c>
      <c r="B22" t="s">
        <v>256</v>
      </c>
      <c r="C22">
        <v>12.7138903694113</v>
      </c>
      <c r="D22">
        <v>3.61565148255121</v>
      </c>
      <c r="E22">
        <v>9.93579627038592</v>
      </c>
      <c r="F22">
        <v>8.36111233217587</v>
      </c>
      <c r="G22">
        <v>6.36621188717995</v>
      </c>
      <c r="H22">
        <v>2.5180626305398</v>
      </c>
      <c r="I22">
        <v>1.17916744419316</v>
      </c>
      <c r="J22">
        <v>0.80566635214085</v>
      </c>
      <c r="K22">
        <v>0.853963263199497</v>
      </c>
      <c r="L22">
        <v>2.27857658040926</v>
      </c>
      <c r="M22">
        <v>9.38643711048536</v>
      </c>
      <c r="N22">
        <v>35.3640710630561</v>
      </c>
      <c r="O22">
        <v>36.8942290695193</v>
      </c>
      <c r="P22">
        <v>13.937157301808</v>
      </c>
      <c r="Q22">
        <v>4.91564673276208</v>
      </c>
      <c r="R22">
        <v>6.16674588079102</v>
      </c>
      <c r="S22">
        <v>6.5044779701513</v>
      </c>
      <c r="T22">
        <v>3.06501452078944</v>
      </c>
      <c r="U22">
        <v>1.2729905296394</v>
      </c>
      <c r="V22">
        <v>0.644393135991737</v>
      </c>
      <c r="W22">
        <v>0.698619882566216</v>
      </c>
      <c r="X22">
        <v>1.23897000479013</v>
      </c>
      <c r="Y22">
        <v>32.3788285914243</v>
      </c>
      <c r="Z22">
        <v>17.830136148879</v>
      </c>
      <c r="AA22">
        <f t="shared" si="1"/>
        <v>93.37860678572828</v>
      </c>
      <c r="AB22">
        <f t="shared" si="2"/>
        <v>125.54720976911193</v>
      </c>
      <c r="AC22">
        <f t="shared" si="3"/>
        <v>-0.2938767431782128</v>
      </c>
      <c r="AD22" s="3">
        <f t="shared" si="0"/>
        <v>109.46290827742011</v>
      </c>
      <c r="AE22" s="3">
        <f>AD22/SUM($AD$18:$AD$22)*100</f>
        <v>24.47741110359027</v>
      </c>
      <c r="AG22" s="2">
        <f>AD22/AD17*100</f>
        <v>57.05408150903316</v>
      </c>
      <c r="AH22" s="1" t="s">
        <v>159</v>
      </c>
      <c r="AL22" s="3">
        <f>(AD22*1000)/(Q_monthly_by_region!AA21/10000)</f>
        <v>1.111365827397686</v>
      </c>
      <c r="AM22" s="3">
        <f>(1000*SUM(AD18:AD22))/(2768.5*100)</f>
        <v>1.61531405798778</v>
      </c>
      <c r="AO22" s="135" t="s">
        <v>152</v>
      </c>
      <c r="AP22" s="271">
        <f>SUM(AD13:AD17)</f>
        <v>698.9660566541311</v>
      </c>
      <c r="AQ22" s="138">
        <f>SUM(C13:N17)</f>
        <v>699.7059609926746</v>
      </c>
      <c r="AR22" s="138">
        <f>SUM(O13:Z17)</f>
        <v>698.2261523155872</v>
      </c>
      <c r="AS22" s="240">
        <f t="shared" si="4"/>
        <v>-0.0021171395420416174</v>
      </c>
      <c r="AT22" s="217">
        <f>(-AVERAGE(Q_monthly_by_region!AD2:AO2)+AVERAGE(Q_monthly_by_region!AP2:BA2))/AVERAGE(Q_monthly_by_region!AD2:BA2)</f>
        <v>0.25198000674960236</v>
      </c>
      <c r="AU22" s="138"/>
      <c r="AV22" s="218">
        <f>AP22/AP31</f>
        <v>0.7552892494167908</v>
      </c>
      <c r="AW22" s="218">
        <f>AQ22/$AQ$31</f>
        <v>0.8122213842853633</v>
      </c>
      <c r="AX22" s="218">
        <f>AR22/$AR$31</f>
        <v>0.7057175902625901</v>
      </c>
      <c r="AY22" t="s">
        <v>797</v>
      </c>
      <c r="AZ22">
        <f>AP20/AP21</f>
        <v>23.140885716076163</v>
      </c>
    </row>
    <row r="23" spans="1:51" ht="17.25">
      <c r="A23" t="s">
        <v>154</v>
      </c>
      <c r="B23" t="s">
        <v>253</v>
      </c>
      <c r="C23">
        <v>1.21758641342971</v>
      </c>
      <c r="D23">
        <v>0.107515310210391</v>
      </c>
      <c r="E23">
        <v>0.334546037715022</v>
      </c>
      <c r="F23">
        <v>0.804069367779626</v>
      </c>
      <c r="G23">
        <v>0.865451906722321</v>
      </c>
      <c r="H23">
        <v>0.158561399253504</v>
      </c>
      <c r="I23">
        <v>0.2067438224276</v>
      </c>
      <c r="J23">
        <v>0.065419139603799</v>
      </c>
      <c r="K23">
        <v>0.371927358356302</v>
      </c>
      <c r="L23">
        <v>0.657285639627714</v>
      </c>
      <c r="M23">
        <v>1.10313580297993</v>
      </c>
      <c r="N23">
        <v>0.697437647944621</v>
      </c>
      <c r="O23">
        <v>2.29721980540086</v>
      </c>
      <c r="P23">
        <v>0.796997464300194</v>
      </c>
      <c r="Q23">
        <v>0.501074348128433</v>
      </c>
      <c r="R23">
        <v>0.624655323127022</v>
      </c>
      <c r="S23">
        <v>0.011432486133719</v>
      </c>
      <c r="T23">
        <v>0.759527264708348</v>
      </c>
      <c r="U23">
        <v>0</v>
      </c>
      <c r="V23">
        <v>0.013631445310264</v>
      </c>
      <c r="W23">
        <v>0.002761636018115</v>
      </c>
      <c r="X23">
        <v>0.017500419776121</v>
      </c>
      <c r="Y23">
        <v>0.411179414205598</v>
      </c>
      <c r="Z23">
        <v>0.278969946812562</v>
      </c>
      <c r="AA23">
        <f t="shared" si="1"/>
        <v>6.589679846050542</v>
      </c>
      <c r="AB23">
        <f t="shared" si="2"/>
        <v>5.714949553921236</v>
      </c>
      <c r="AC23">
        <f t="shared" si="3"/>
        <v>0.1421790553287712</v>
      </c>
      <c r="AD23" s="3">
        <f t="shared" si="0"/>
        <v>6.152314699985889</v>
      </c>
      <c r="AE23" s="3">
        <f>AD23/SUM($AD$23:$AD$27)*100</f>
        <v>14.127111418073499</v>
      </c>
      <c r="AG23" s="2">
        <f>AD23/AD13*100</f>
        <v>13.935959661808061</v>
      </c>
      <c r="AH23" s="1" t="s">
        <v>162</v>
      </c>
      <c r="AL23" s="3">
        <f>(AD23*1000)/(Q_monthly_by_region!AA22/10000)</f>
        <v>0.24267475672571068</v>
      </c>
      <c r="AM23" s="3"/>
      <c r="AO23" s="135" t="s">
        <v>153</v>
      </c>
      <c r="AP23" s="138">
        <f>SUM(AD18:AD22)</f>
        <v>447.19969695391694</v>
      </c>
      <c r="AQ23" s="138">
        <f>SUM(C18:N22)</f>
        <v>432.9402811314615</v>
      </c>
      <c r="AR23" s="138">
        <f>SUM(O18:Z22)</f>
        <v>461.45911277637236</v>
      </c>
      <c r="AS23" s="240">
        <f t="shared" si="4"/>
        <v>0.06377202810996013</v>
      </c>
      <c r="AT23" s="217">
        <f>(-AVERAGE(Q_monthly_by_region!AD2:AO2)+AVERAGE(Q_monthly_by_region!AP2:BA2))/AVERAGE(Q_monthly_by_region!AD2:BA2)</f>
        <v>0.25198000674960236</v>
      </c>
      <c r="AU23" s="138"/>
      <c r="AV23" s="218">
        <f>AP23/AP31</f>
        <v>0.48323537350094287</v>
      </c>
      <c r="AW23" s="218">
        <f>AQ23/$AQ$31</f>
        <v>0.5025587519000306</v>
      </c>
      <c r="AX23" s="218">
        <f>AR23/$AR$31</f>
        <v>0.4664102196591187</v>
      </c>
      <c r="AY23" t="s">
        <v>797</v>
      </c>
    </row>
    <row r="24" spans="1:73" ht="17.25">
      <c r="A24" t="s">
        <v>154</v>
      </c>
      <c r="B24" t="s">
        <v>149</v>
      </c>
      <c r="C24">
        <v>2.98410112969981</v>
      </c>
      <c r="D24">
        <v>0.166248035816314</v>
      </c>
      <c r="E24">
        <v>0.492040845848141</v>
      </c>
      <c r="F24">
        <v>0.424092510642957</v>
      </c>
      <c r="G24">
        <v>0.298306584639554</v>
      </c>
      <c r="H24">
        <v>0.021917393778927</v>
      </c>
      <c r="I24">
        <v>0.079155635584013</v>
      </c>
      <c r="J24">
        <v>0.027837367602669</v>
      </c>
      <c r="K24">
        <v>0.051112550318449</v>
      </c>
      <c r="L24">
        <v>0.50406217756822</v>
      </c>
      <c r="M24">
        <v>2.43143339548642</v>
      </c>
      <c r="N24">
        <v>7.51568015282245</v>
      </c>
      <c r="O24">
        <v>3.00267278947449</v>
      </c>
      <c r="P24">
        <v>1.26772183630905</v>
      </c>
      <c r="Q24">
        <v>0.114612113574078</v>
      </c>
      <c r="R24">
        <v>0.339133802995246</v>
      </c>
      <c r="S24">
        <v>0.169444412371576</v>
      </c>
      <c r="T24">
        <v>0.101452370728904</v>
      </c>
      <c r="U24">
        <v>0.054862325604687</v>
      </c>
      <c r="V24">
        <v>0.126065937235835</v>
      </c>
      <c r="W24">
        <v>0.010878258508383</v>
      </c>
      <c r="X24">
        <v>0.030584346734429</v>
      </c>
      <c r="Y24">
        <v>1.52376204959319</v>
      </c>
      <c r="Z24">
        <v>3.81283149784453</v>
      </c>
      <c r="AA24">
        <f t="shared" si="1"/>
        <v>14.995987779807924</v>
      </c>
      <c r="AB24">
        <f t="shared" si="2"/>
        <v>10.554021740974399</v>
      </c>
      <c r="AC24">
        <f t="shared" si="3"/>
        <v>0.34770758384418127</v>
      </c>
      <c r="AD24" s="3">
        <f t="shared" si="0"/>
        <v>12.775004760391164</v>
      </c>
      <c r="AE24" s="3">
        <f>AD24/SUM($AD$23:$AD$27)*100</f>
        <v>29.334311461160993</v>
      </c>
      <c r="AG24" s="2">
        <f>AD24/AD14*100</f>
        <v>9.02947511576952</v>
      </c>
      <c r="AH24" s="1" t="s">
        <v>162</v>
      </c>
      <c r="AL24" s="3">
        <f>(AD24*1000)/(Q_monthly_by_region!AA23/10000)</f>
        <v>0.3816767548169692</v>
      </c>
      <c r="AM24" s="3"/>
      <c r="AN24">
        <f>AP33/AP31</f>
        <v>0.46330367063489963</v>
      </c>
      <c r="AO24" s="135" t="s">
        <v>154</v>
      </c>
      <c r="AP24" s="138">
        <f>SUM(AD23:AD27)</f>
        <v>43.54970041586091</v>
      </c>
      <c r="AQ24" s="138">
        <f>SUM(C23:N27)</f>
        <v>47.64318188353805</v>
      </c>
      <c r="AR24" s="138">
        <f>SUM(O23:Z27)</f>
        <v>39.456218948183796</v>
      </c>
      <c r="AS24" s="240">
        <f t="shared" si="4"/>
        <v>-0.1879912572802117</v>
      </c>
      <c r="AT24" s="217">
        <f>(-AVERAGE(Q_monthly_by_region!AD2:AO2)+AVERAGE(Q_monthly_by_region!AP2:BA2))/AVERAGE(Q_monthly_by_region!AD2:BA2)</f>
        <v>0.25198000674960236</v>
      </c>
      <c r="AU24" s="138"/>
      <c r="AV24" s="218">
        <f>AP24/AP31</f>
        <v>0.04705896692161966</v>
      </c>
      <c r="AW24" s="218">
        <f>AQ24/$AQ$31</f>
        <v>0.055304389698649065</v>
      </c>
      <c r="AX24" s="218">
        <f>AR24/$AR$31</f>
        <v>0.039879554302915794</v>
      </c>
      <c r="AY24" t="s">
        <v>797</v>
      </c>
      <c r="AZ24">
        <f>AP24/AP22</f>
        <v>0.06230588739076722</v>
      </c>
      <c r="BT24" t="s">
        <v>253</v>
      </c>
      <c r="BU24">
        <v>6.3160502364507485</v>
      </c>
    </row>
    <row r="25" spans="1:73" ht="17.25">
      <c r="A25" t="s">
        <v>154</v>
      </c>
      <c r="B25" t="s">
        <v>254</v>
      </c>
      <c r="C25">
        <v>1.28895463217524</v>
      </c>
      <c r="D25">
        <v>0.341022940684249</v>
      </c>
      <c r="E25">
        <v>0.650870339808632</v>
      </c>
      <c r="F25">
        <v>0.401472246954912</v>
      </c>
      <c r="G25">
        <v>0.128637521532851</v>
      </c>
      <c r="H25">
        <v>0.130762027406486</v>
      </c>
      <c r="I25">
        <v>0.078344267277745</v>
      </c>
      <c r="J25">
        <v>0.095670813835187</v>
      </c>
      <c r="K25">
        <v>0.146896388329927</v>
      </c>
      <c r="L25">
        <v>0.221057267926393</v>
      </c>
      <c r="M25">
        <v>0.761504376255136</v>
      </c>
      <c r="N25">
        <v>1.50733719828016</v>
      </c>
      <c r="O25">
        <v>0.827520919399614</v>
      </c>
      <c r="P25">
        <v>0.368486283702306</v>
      </c>
      <c r="Q25">
        <v>0.13855969135982</v>
      </c>
      <c r="R25">
        <v>0.220611186511102</v>
      </c>
      <c r="S25">
        <v>0.095224351250851</v>
      </c>
      <c r="T25">
        <v>0.091148556534136</v>
      </c>
      <c r="U25">
        <v>0.072384104260657</v>
      </c>
      <c r="V25">
        <v>0.078245979446495</v>
      </c>
      <c r="W25">
        <v>0.051272726710946</v>
      </c>
      <c r="X25">
        <v>0.142953839029465</v>
      </c>
      <c r="Y25">
        <v>1.48100209057736</v>
      </c>
      <c r="Z25">
        <v>1.70189451014876</v>
      </c>
      <c r="AA25">
        <f t="shared" si="1"/>
        <v>5.752530020466918</v>
      </c>
      <c r="AB25">
        <f t="shared" si="2"/>
        <v>5.269304238931512</v>
      </c>
      <c r="AC25">
        <f t="shared" si="3"/>
        <v>0.08768518382017125</v>
      </c>
      <c r="AD25" s="3">
        <f t="shared" si="0"/>
        <v>5.510917129699215</v>
      </c>
      <c r="AE25" s="3">
        <f>AD25/SUM($AD$23:$AD$27)*100</f>
        <v>12.654316969060309</v>
      </c>
      <c r="AG25" s="2">
        <f>AD25/AD15*100</f>
        <v>4.506720768990878</v>
      </c>
      <c r="AH25" s="1" t="s">
        <v>162</v>
      </c>
      <c r="AL25" s="3">
        <f>(AD25*1000)/(Q_monthly_by_region!AA24/10000)</f>
        <v>0.09538123956759624</v>
      </c>
      <c r="AM25" s="3"/>
      <c r="AN25">
        <f>AP21/AP22</f>
        <v>0.28941616767414674</v>
      </c>
      <c r="AO25" s="135" t="s">
        <v>155</v>
      </c>
      <c r="AP25" s="138">
        <f>SUM(AD28:AD32)</f>
        <v>5.605936162734629</v>
      </c>
      <c r="AQ25" s="138">
        <f>SUM(C28:N32)</f>
        <v>3.420777471987871</v>
      </c>
      <c r="AR25" s="138">
        <f>SUM(O28:Z32)</f>
        <v>7.791094853481391</v>
      </c>
      <c r="AS25" s="240">
        <f t="shared" si="4"/>
        <v>0.7795874327904649</v>
      </c>
      <c r="AT25" s="217">
        <f>(-AVERAGE(Q_monthly_by_region!AD2:AO2)+AVERAGE(Q_monthly_by_region!AP2:BA2))/AVERAGE(Q_monthly_by_region!AD2:BA2)</f>
        <v>0.25198000674960236</v>
      </c>
      <c r="AU25" s="138"/>
      <c r="AV25" s="218">
        <f>AP25/AP31</f>
        <v>0.006057666572391857</v>
      </c>
      <c r="AW25" s="218">
        <f>AQ25/$AQ$31</f>
        <v>0.003970851712751469</v>
      </c>
      <c r="AX25" s="218">
        <f>AR25/$AR$31</f>
        <v>0.007874687402171386</v>
      </c>
      <c r="AY25" t="s">
        <v>797</v>
      </c>
      <c r="AZ25">
        <f>AP25/AP22</f>
        <v>0.008020326751730393</v>
      </c>
      <c r="BT25" t="s">
        <v>149</v>
      </c>
      <c r="BU25">
        <v>20.24149004400935</v>
      </c>
    </row>
    <row r="26" spans="1:73" ht="17.25">
      <c r="A26" t="s">
        <v>154</v>
      </c>
      <c r="B26" t="s">
        <v>255</v>
      </c>
      <c r="C26">
        <v>1.63893989191434</v>
      </c>
      <c r="D26">
        <v>0.216238280651276</v>
      </c>
      <c r="E26">
        <v>0.56775650836423</v>
      </c>
      <c r="F26">
        <v>0.400358096060174</v>
      </c>
      <c r="G26">
        <v>0.086843441384666</v>
      </c>
      <c r="H26">
        <v>0.136051131467108</v>
      </c>
      <c r="I26">
        <v>0.03290313550403</v>
      </c>
      <c r="J26">
        <v>0.10463644451734</v>
      </c>
      <c r="K26">
        <v>0.186001617144884</v>
      </c>
      <c r="L26">
        <v>0.351288970555947</v>
      </c>
      <c r="M26">
        <v>0.575708023220872</v>
      </c>
      <c r="N26">
        <v>1.79233027668588</v>
      </c>
      <c r="O26">
        <v>0.826228623004922</v>
      </c>
      <c r="P26">
        <v>0.245217073359931</v>
      </c>
      <c r="Q26">
        <v>0.097139810772222</v>
      </c>
      <c r="R26">
        <v>0.176688016484427</v>
      </c>
      <c r="S26">
        <v>0.079011148375624</v>
      </c>
      <c r="T26">
        <v>0.089731589134246</v>
      </c>
      <c r="U26">
        <v>0.05692844837545</v>
      </c>
      <c r="V26">
        <v>0.05122205152827</v>
      </c>
      <c r="W26">
        <v>0.053988284410911</v>
      </c>
      <c r="X26">
        <v>0.198247796114825</v>
      </c>
      <c r="Y26">
        <v>1.75154995206137</v>
      </c>
      <c r="Z26">
        <v>1.56573441975886</v>
      </c>
      <c r="AA26">
        <f t="shared" si="1"/>
        <v>6.089055817470747</v>
      </c>
      <c r="AB26">
        <f t="shared" si="2"/>
        <v>5.1916872133810585</v>
      </c>
      <c r="AC26">
        <f t="shared" si="3"/>
        <v>0.15909742853559686</v>
      </c>
      <c r="AD26" s="3">
        <f t="shared" si="0"/>
        <v>5.640371515425902</v>
      </c>
      <c r="AE26" s="3">
        <f>AD26/SUM($AD$23:$AD$27)*100</f>
        <v>12.951573630967308</v>
      </c>
      <c r="AG26" s="2">
        <f>AD26/AD16*100</f>
        <v>2.8315471533001406</v>
      </c>
      <c r="AH26" s="1" t="s">
        <v>162</v>
      </c>
      <c r="AL26" s="3">
        <f>(AD26*1000)/(Q_monthly_by_region!AA25/10000)</f>
        <v>0.09133416624224455</v>
      </c>
      <c r="AM26" s="3"/>
      <c r="AO26" s="135" t="s">
        <v>156</v>
      </c>
      <c r="AP26" s="138">
        <f>SUM(AD33:AD37)</f>
        <v>33.17917566461504</v>
      </c>
      <c r="AQ26" s="138">
        <f>SUM(C33:N37)</f>
        <v>29.16207705160502</v>
      </c>
      <c r="AR26" s="138">
        <f>SUM(O33:Z37)</f>
        <v>37.19627427762506</v>
      </c>
      <c r="AS26" s="240">
        <f t="shared" si="4"/>
        <v>0.24214577562842696</v>
      </c>
      <c r="AT26" s="217">
        <f>(-AVERAGE(Q_monthly_by_region!AD2:AO2)+AVERAGE(Q_monthly_by_region!AP2:BA2))/AVERAGE(Q_monthly_by_region!AD2:BA2)</f>
        <v>0.25198000674960236</v>
      </c>
      <c r="AU26" s="138"/>
      <c r="AV26" s="219"/>
      <c r="BT26" t="s">
        <v>254</v>
      </c>
      <c r="BU26">
        <v>17.49472595476311</v>
      </c>
    </row>
    <row r="27" spans="1:73" ht="17.25">
      <c r="A27" t="s">
        <v>154</v>
      </c>
      <c r="B27" t="s">
        <v>256</v>
      </c>
      <c r="C27">
        <v>1.16472831554666</v>
      </c>
      <c r="D27">
        <v>0.346413743891754</v>
      </c>
      <c r="E27">
        <v>0.481857862173122</v>
      </c>
      <c r="F27">
        <v>2.04623196619051</v>
      </c>
      <c r="G27">
        <v>0.790908420816124</v>
      </c>
      <c r="H27">
        <v>0.64755452851152</v>
      </c>
      <c r="I27">
        <v>1.45603400557271</v>
      </c>
      <c r="J27">
        <v>0.235163894943702</v>
      </c>
      <c r="K27">
        <v>0.586875062151908</v>
      </c>
      <c r="L27">
        <v>0.686983799588522</v>
      </c>
      <c r="M27">
        <v>1.357651578306</v>
      </c>
      <c r="N27">
        <v>4.41552524204938</v>
      </c>
      <c r="O27">
        <v>1.69950183477854</v>
      </c>
      <c r="P27">
        <v>0.669914617897751</v>
      </c>
      <c r="Q27">
        <v>0.920802689075796</v>
      </c>
      <c r="R27">
        <v>1.41457877238389</v>
      </c>
      <c r="S27">
        <v>1.67479719242503</v>
      </c>
      <c r="T27">
        <v>1.65123339031122</v>
      </c>
      <c r="U27">
        <v>0.337779518079092</v>
      </c>
      <c r="V27">
        <v>0.431598960479469</v>
      </c>
      <c r="W27">
        <v>0.58383846602664</v>
      </c>
      <c r="X27">
        <v>0.607896746889693</v>
      </c>
      <c r="Y27">
        <v>0.842305332400994</v>
      </c>
      <c r="Z27">
        <v>1.89200868022746</v>
      </c>
      <c r="AA27">
        <f t="shared" si="1"/>
        <v>14.215928419741912</v>
      </c>
      <c r="AB27">
        <f t="shared" si="2"/>
        <v>12.726256200975575</v>
      </c>
      <c r="AC27">
        <f t="shared" si="3"/>
        <v>0.1105828825492375</v>
      </c>
      <c r="AD27" s="3">
        <f t="shared" si="0"/>
        <v>13.471092310358742</v>
      </c>
      <c r="AE27" s="3">
        <f>AD27/SUM($AD$23:$AD$27)*100</f>
        <v>30.93268652073789</v>
      </c>
      <c r="AG27" s="2">
        <f>AD27/AD17*100</f>
        <v>7.021381130702696</v>
      </c>
      <c r="AH27" s="1" t="s">
        <v>162</v>
      </c>
      <c r="AL27" s="3">
        <f>(AD27*1000)/(Q_monthly_by_region!AA26/10000)</f>
        <v>0.1367706366206672</v>
      </c>
      <c r="AM27" s="3">
        <f>(1000*SUM(AD23:AD27))/(2768.5*100)</f>
        <v>0.15730431791894858</v>
      </c>
      <c r="AO27" s="135" t="s">
        <v>157</v>
      </c>
      <c r="AP27" s="216">
        <f>SUM(AD38:AD42)</f>
        <v>22051.50428603276</v>
      </c>
      <c r="AQ27" s="216">
        <f>SUM(C38:N42)</f>
        <v>19651.864580785663</v>
      </c>
      <c r="AR27" s="216">
        <f>SUM(O38:Z42)</f>
        <v>24451.143991279863</v>
      </c>
      <c r="AS27" s="240">
        <f t="shared" si="4"/>
        <v>0.2176395473180496</v>
      </c>
      <c r="AT27" s="217">
        <f>(-AVERAGE(Q_monthly_by_region!AD2:AO2)+AVERAGE(Q_monthly_by_region!AP2:BA2))/AVERAGE(Q_monthly_by_region!AD2:BA2)</f>
        <v>0.25198000674960236</v>
      </c>
      <c r="AU27" s="216"/>
      <c r="AV27" s="219"/>
      <c r="BT27" t="s">
        <v>255</v>
      </c>
      <c r="BU27">
        <v>28.49888221864064</v>
      </c>
    </row>
    <row r="28" spans="1:73" ht="17.25">
      <c r="A28" t="s">
        <v>155</v>
      </c>
      <c r="B28" t="s">
        <v>253</v>
      </c>
      <c r="C28">
        <v>0.034341908251198</v>
      </c>
      <c r="D28">
        <v>0.005418410834159</v>
      </c>
      <c r="E28">
        <v>0.005138667572033</v>
      </c>
      <c r="F28">
        <v>0.018737827135044</v>
      </c>
      <c r="G28">
        <v>0.01374078680564</v>
      </c>
      <c r="H28">
        <v>0.004870801037147</v>
      </c>
      <c r="I28">
        <v>0.002729983121626</v>
      </c>
      <c r="J28">
        <v>0.002640859292861</v>
      </c>
      <c r="K28">
        <v>0.014187780798825</v>
      </c>
      <c r="L28">
        <v>0.009226980655477</v>
      </c>
      <c r="M28">
        <v>0.037172236475495</v>
      </c>
      <c r="N28">
        <v>0.071392540181392</v>
      </c>
      <c r="O28">
        <v>0.044049912919688</v>
      </c>
      <c r="P28">
        <v>0.044769492527353</v>
      </c>
      <c r="Q28">
        <v>0.018341788434563</v>
      </c>
      <c r="R28">
        <v>0.006144845531422</v>
      </c>
      <c r="S28">
        <v>0.001565467497679</v>
      </c>
      <c r="T28">
        <v>0.019937345846039</v>
      </c>
      <c r="U28">
        <v>0.003511220108656</v>
      </c>
      <c r="V28">
        <v>0.002956495778283</v>
      </c>
      <c r="W28">
        <v>0.000791113460554</v>
      </c>
      <c r="X28">
        <v>0</v>
      </c>
      <c r="Y28">
        <v>0.028409125935194</v>
      </c>
      <c r="Z28">
        <v>0.078456412032482</v>
      </c>
      <c r="AA28">
        <f t="shared" si="1"/>
        <v>0.219598782160897</v>
      </c>
      <c r="AB28">
        <f t="shared" si="2"/>
        <v>0.248933220071913</v>
      </c>
      <c r="AC28">
        <f t="shared" si="3"/>
        <v>-0.1252185027755688</v>
      </c>
      <c r="AD28" s="3">
        <f t="shared" si="0"/>
        <v>0.23426600111640505</v>
      </c>
      <c r="AE28" s="3">
        <f>AD28/SUM($AD$28:$AD$32)*100</f>
        <v>4.178891701865686</v>
      </c>
      <c r="AG28" s="2">
        <f>AD28/AD13*100</f>
        <v>0.5306493085762974</v>
      </c>
      <c r="AH28" s="1" t="s">
        <v>161</v>
      </c>
      <c r="AL28" s="3">
        <f>(AD28*1000)/(Q_monthly_by_region!AA27/10000)</f>
        <v>0.009240496886506643</v>
      </c>
      <c r="AM28" s="3"/>
      <c r="AO28" s="135" t="s">
        <v>644</v>
      </c>
      <c r="AP28" s="141">
        <f>AP23+AP24+AP25</f>
        <v>496.3553335325125</v>
      </c>
      <c r="AQ28" s="141">
        <f>SUM(C63:N67)</f>
        <v>484.0042404869874</v>
      </c>
      <c r="AR28" s="141">
        <f>SUM(O63:Z67)</f>
        <v>508.7064265780374</v>
      </c>
      <c r="AS28" s="240">
        <f t="shared" si="4"/>
        <v>0.04976714144531693</v>
      </c>
      <c r="AT28" s="217">
        <f>(-AVERAGE(Q_monthly_by_region!AD2:AO2)+AVERAGE(Q_monthly_by_region!AP2:BA2))/AVERAGE(Q_monthly_by_region!AD2:BA2)</f>
        <v>0.25198000674960236</v>
      </c>
      <c r="AU28" s="141"/>
      <c r="AV28" s="218">
        <f>AP28/AP31</f>
        <v>0.5363520069949543</v>
      </c>
      <c r="AW28" s="218">
        <f>AQ28/$AQ$31</f>
        <v>0.561833993311431</v>
      </c>
      <c r="AX28" s="218">
        <f>AR28/$AR$31</f>
        <v>0.5141644613642057</v>
      </c>
      <c r="AY28" t="s">
        <v>797</v>
      </c>
      <c r="BA28" s="138"/>
      <c r="BT28" t="s">
        <v>256</v>
      </c>
      <c r="BU28">
        <v>27.44885154613615</v>
      </c>
    </row>
    <row r="29" spans="1:51" ht="17.25">
      <c r="A29" t="s">
        <v>155</v>
      </c>
      <c r="B29" t="s">
        <v>149</v>
      </c>
      <c r="C29">
        <v>0.08405808946777</v>
      </c>
      <c r="D29">
        <v>0.026057506711859</v>
      </c>
      <c r="E29">
        <v>0.128778727028186</v>
      </c>
      <c r="F29">
        <v>0.159158562967453</v>
      </c>
      <c r="G29">
        <v>0.14389996032427</v>
      </c>
      <c r="H29">
        <v>0.102199374292126</v>
      </c>
      <c r="I29">
        <v>0.062158447928274</v>
      </c>
      <c r="J29">
        <v>0.045044435289886</v>
      </c>
      <c r="K29">
        <v>0.103390634920102</v>
      </c>
      <c r="L29">
        <v>0.185248316815039</v>
      </c>
      <c r="M29">
        <v>0.183649362185581</v>
      </c>
      <c r="N29">
        <v>0.633941923036861</v>
      </c>
      <c r="O29">
        <v>0.229152091836056</v>
      </c>
      <c r="P29">
        <v>0.024081257037804</v>
      </c>
      <c r="Q29">
        <v>0.065721301040265</v>
      </c>
      <c r="R29">
        <v>0.018277027353025</v>
      </c>
      <c r="S29">
        <v>0.161663755525212</v>
      </c>
      <c r="T29">
        <v>0.044670897798704</v>
      </c>
      <c r="U29">
        <v>0.005118027462282</v>
      </c>
      <c r="V29">
        <v>0.004772142491218</v>
      </c>
      <c r="W29">
        <v>0.134060565094162</v>
      </c>
      <c r="X29">
        <v>0.004867720262714</v>
      </c>
      <c r="Y29">
        <v>5.21908387513553</v>
      </c>
      <c r="Z29">
        <v>0.12772103665704</v>
      </c>
      <c r="AA29">
        <f t="shared" si="1"/>
        <v>1.857585340967407</v>
      </c>
      <c r="AB29">
        <f t="shared" si="2"/>
        <v>6.039189697694012</v>
      </c>
      <c r="AC29">
        <f t="shared" si="3"/>
        <v>-1.059066349555129</v>
      </c>
      <c r="AD29" s="3">
        <f t="shared" si="0"/>
        <v>3.94838751933071</v>
      </c>
      <c r="AE29" s="3">
        <f>AD29/SUM($AD$28:$AD$32)*100</f>
        <v>70.43225974597344</v>
      </c>
      <c r="AG29" s="2">
        <f>AD29/AD14*100</f>
        <v>2.7907517470169574</v>
      </c>
      <c r="AH29" s="1" t="s">
        <v>161</v>
      </c>
      <c r="AL29" s="3">
        <f>(AD29*1000)/(Q_monthly_by_region!AA28/10000)</f>
        <v>0.11796533648350865</v>
      </c>
      <c r="AM29" s="3"/>
      <c r="AO29" s="135" t="s">
        <v>613</v>
      </c>
      <c r="AP29" s="141">
        <f>SUM(AD43:AD47)</f>
        <v>226.46225732471805</v>
      </c>
      <c r="AQ29" s="141">
        <f>SUM(C43:N47)</f>
        <v>161.76601515864823</v>
      </c>
      <c r="AR29" s="141">
        <f>SUM(O43:Z47)</f>
        <v>291.158499490788</v>
      </c>
      <c r="AS29" s="240">
        <f t="shared" si="4"/>
        <v>0.571364455431562</v>
      </c>
      <c r="AT29" s="217">
        <f>(-AVERAGE(Q_monthly_by_region!AD2:AO2)+AVERAGE(Q_monthly_by_region!AP2:BA2))/AVERAGE(Q_monthly_by_region!AD2:BA2)</f>
        <v>0.25198000674960236</v>
      </c>
      <c r="AU29" s="141"/>
      <c r="AV29" s="220">
        <f>AP29/AP31</f>
        <v>0.24471075058320932</v>
      </c>
      <c r="AW29" s="218">
        <f>AQ29/$AQ$31</f>
        <v>0.18777861571463714</v>
      </c>
      <c r="AX29" s="218">
        <f>AR29/$AR$31</f>
        <v>0.29428240973740943</v>
      </c>
      <c r="AY29" t="s">
        <v>797</v>
      </c>
    </row>
    <row r="30" spans="1:51" ht="17.25">
      <c r="A30" t="s">
        <v>155</v>
      </c>
      <c r="B30" t="s">
        <v>254</v>
      </c>
      <c r="C30">
        <v>0.064350964855539</v>
      </c>
      <c r="D30">
        <v>0.020545604496667</v>
      </c>
      <c r="E30">
        <v>0.042065741048217</v>
      </c>
      <c r="F30">
        <v>0.033656881729331</v>
      </c>
      <c r="G30">
        <v>0.023379752020895</v>
      </c>
      <c r="H30">
        <v>0.014405761630387</v>
      </c>
      <c r="I30">
        <v>0.013244518052861</v>
      </c>
      <c r="J30">
        <v>0.006458078288926</v>
      </c>
      <c r="K30">
        <v>0.00563562166178</v>
      </c>
      <c r="L30">
        <v>0.006427879876616</v>
      </c>
      <c r="M30">
        <v>0.033105424607613</v>
      </c>
      <c r="N30">
        <v>0.106860732135941</v>
      </c>
      <c r="O30">
        <v>0.051209043667385</v>
      </c>
      <c r="P30">
        <v>0.024413616646323</v>
      </c>
      <c r="Q30">
        <v>0.020746337058007</v>
      </c>
      <c r="R30">
        <v>0.014044843223684</v>
      </c>
      <c r="S30">
        <v>0.009105573719114</v>
      </c>
      <c r="T30">
        <v>0.015503806050644</v>
      </c>
      <c r="U30">
        <v>0.005290300860763</v>
      </c>
      <c r="V30">
        <v>0.003745501483587</v>
      </c>
      <c r="W30">
        <v>0.002683736163727</v>
      </c>
      <c r="X30">
        <v>0.004800579717421</v>
      </c>
      <c r="Y30">
        <v>0.118776562311116</v>
      </c>
      <c r="Z30">
        <v>0.101130432229192</v>
      </c>
      <c r="AA30">
        <f t="shared" si="1"/>
        <v>0.370136960404773</v>
      </c>
      <c r="AB30">
        <f t="shared" si="2"/>
        <v>0.371450333130963</v>
      </c>
      <c r="AC30">
        <f t="shared" si="3"/>
        <v>-0.003542058332547972</v>
      </c>
      <c r="AD30" s="3">
        <f t="shared" si="0"/>
        <v>0.370793646767868</v>
      </c>
      <c r="AE30" s="3">
        <f>AD30/SUM($AD$28:$AD$32)*100</f>
        <v>6.614303766652087</v>
      </c>
      <c r="AG30" s="2">
        <f>AD30/AD15*100</f>
        <v>0.3032278275231158</v>
      </c>
      <c r="AH30" s="1" t="s">
        <v>161</v>
      </c>
      <c r="AL30" s="3">
        <f>(AD30*1000)/(Q_monthly_by_region!AA29/10000)</f>
        <v>0.006417581106765615</v>
      </c>
      <c r="AM30" s="3"/>
      <c r="AO30" s="135" t="s">
        <v>789</v>
      </c>
      <c r="AP30" s="141">
        <f>SUM(AD48:AD52)</f>
        <v>2298.756801402922</v>
      </c>
      <c r="AQ30" s="141">
        <f>SUM(C48:N52)</f>
        <v>1677.3952728249062</v>
      </c>
      <c r="AR30" s="141">
        <f>SUM(O48:Z52)</f>
        <v>2920.1183299809372</v>
      </c>
      <c r="AS30" s="240">
        <f t="shared" si="4"/>
        <v>0.5406065819566481</v>
      </c>
      <c r="AT30" s="217">
        <f>(-AVERAGE(Q_monthly_by_region!AD2:AO2)+AVERAGE(Q_monthly_by_region!AP2:BA2))/AVERAGE(Q_monthly_by_region!AD2:BA2)</f>
        <v>0.25198000674960236</v>
      </c>
      <c r="AU30" s="141"/>
      <c r="AV30" s="218">
        <f>AP30/AP32</f>
        <v>0.32933598152847204</v>
      </c>
      <c r="AW30" s="218">
        <f>AQ30/AQ32</f>
        <v>0.2852922830327486</v>
      </c>
      <c r="AX30" s="218">
        <f>AR30/AR32</f>
        <v>0.36138371328944635</v>
      </c>
      <c r="AY30" t="s">
        <v>798</v>
      </c>
    </row>
    <row r="31" spans="1:48" ht="17.25">
      <c r="A31" t="s">
        <v>155</v>
      </c>
      <c r="B31" t="s">
        <v>255</v>
      </c>
      <c r="C31">
        <v>0.10812770053032</v>
      </c>
      <c r="D31">
        <v>0.018674521448269</v>
      </c>
      <c r="E31">
        <v>0.052232477918031</v>
      </c>
      <c r="F31">
        <v>0.049227520010382</v>
      </c>
      <c r="G31">
        <v>0.031005860490096</v>
      </c>
      <c r="H31">
        <v>0.017441921527746</v>
      </c>
      <c r="I31">
        <v>0.017941079789788</v>
      </c>
      <c r="J31">
        <v>0.00651261720743</v>
      </c>
      <c r="K31">
        <v>0.006905064964403</v>
      </c>
      <c r="L31">
        <v>0.008505690202678</v>
      </c>
      <c r="M31">
        <v>0.035583612264953</v>
      </c>
      <c r="N31">
        <v>0.141174755156743</v>
      </c>
      <c r="O31">
        <v>0.052008553339515</v>
      </c>
      <c r="P31">
        <v>0.008135741105849</v>
      </c>
      <c r="Q31">
        <v>0.021513418060931</v>
      </c>
      <c r="R31">
        <v>0.015886728255291</v>
      </c>
      <c r="S31">
        <v>0.009645452800114</v>
      </c>
      <c r="T31">
        <v>0.012999840288837</v>
      </c>
      <c r="U31">
        <v>0.004017602492699</v>
      </c>
      <c r="V31">
        <v>0.003309453806465</v>
      </c>
      <c r="W31">
        <v>0.003214471037231</v>
      </c>
      <c r="X31">
        <v>0.004176834197112</v>
      </c>
      <c r="Y31">
        <v>0.13851739778811</v>
      </c>
      <c r="Z31">
        <v>0.079820978268887</v>
      </c>
      <c r="AA31">
        <f t="shared" si="1"/>
        <v>0.493332821510839</v>
      </c>
      <c r="AB31">
        <f t="shared" si="2"/>
        <v>0.35324647144104104</v>
      </c>
      <c r="AC31">
        <f t="shared" si="3"/>
        <v>0.3309467907757118</v>
      </c>
      <c r="AD31" s="3">
        <f t="shared" si="0"/>
        <v>0.4232896464759401</v>
      </c>
      <c r="AE31" s="3">
        <f>AD31/SUM($AD$28:$AD$32)*100</f>
        <v>7.550739683583113</v>
      </c>
      <c r="AG31" s="2">
        <f>AD31/AD16*100</f>
        <v>0.2124974552159208</v>
      </c>
      <c r="AH31" s="1" t="s">
        <v>161</v>
      </c>
      <c r="AL31" s="3">
        <f>(AD31*1000)/(Q_monthly_by_region!AA30/10000)</f>
        <v>0.006854301500197399</v>
      </c>
      <c r="AM31" s="3"/>
      <c r="AO31" s="135" t="s">
        <v>790</v>
      </c>
      <c r="AP31" s="141">
        <f>SUM(AD53:AD57)</f>
        <v>925.428313978849</v>
      </c>
      <c r="AQ31" s="141">
        <f>SUM(C53:N57)</f>
        <v>861.4719761513225</v>
      </c>
      <c r="AR31" s="141">
        <f>SUM(O53:Z57)</f>
        <v>989.3846518063757</v>
      </c>
      <c r="AS31" s="240">
        <f t="shared" si="4"/>
        <v>0.13821997200960584</v>
      </c>
      <c r="AT31" s="217">
        <f>(-AVERAGE(Q_monthly_by_region!AD2:AO2)+AVERAGE(Q_monthly_by_region!AP2:BA2))/AVERAGE(Q_monthly_by_region!AD2:BA2)</f>
        <v>0.25198000674960236</v>
      </c>
      <c r="AU31" s="141"/>
      <c r="AV31" s="219"/>
    </row>
    <row r="32" spans="1:48" ht="17.25">
      <c r="A32" t="s">
        <v>155</v>
      </c>
      <c r="B32" t="s">
        <v>256</v>
      </c>
      <c r="C32">
        <v>0.057306430076992</v>
      </c>
      <c r="D32">
        <v>0.019047992893909</v>
      </c>
      <c r="E32">
        <v>0.033393003196414</v>
      </c>
      <c r="F32">
        <v>0.039634947563161</v>
      </c>
      <c r="G32">
        <v>0.053632414504526</v>
      </c>
      <c r="H32">
        <v>0.036518110630317</v>
      </c>
      <c r="I32">
        <v>0.014298102355126</v>
      </c>
      <c r="J32">
        <v>0.007354473253392</v>
      </c>
      <c r="K32">
        <v>0.03183721168152</v>
      </c>
      <c r="L32">
        <v>0.031324188471284</v>
      </c>
      <c r="M32">
        <v>0.03657001822564</v>
      </c>
      <c r="N32">
        <v>0.119206674091674</v>
      </c>
      <c r="O32">
        <v>0.093710373672352</v>
      </c>
      <c r="P32">
        <v>0.090049440617809</v>
      </c>
      <c r="Q32">
        <v>0.091570829525608</v>
      </c>
      <c r="R32">
        <v>0.059678231856533</v>
      </c>
      <c r="S32">
        <v>0.061386795848401</v>
      </c>
      <c r="T32">
        <v>0.031173095357864</v>
      </c>
      <c r="U32">
        <v>0.022546876948689</v>
      </c>
      <c r="V32">
        <v>0.013702645130806</v>
      </c>
      <c r="W32">
        <v>0.010759475070303</v>
      </c>
      <c r="X32">
        <v>0.01197611336361</v>
      </c>
      <c r="Y32">
        <v>0.229890238260705</v>
      </c>
      <c r="Z32">
        <v>0.061831015490779</v>
      </c>
      <c r="AA32">
        <f t="shared" si="1"/>
        <v>0.48012356694395497</v>
      </c>
      <c r="AB32">
        <f t="shared" si="2"/>
        <v>0.7782751311434589</v>
      </c>
      <c r="AC32">
        <f t="shared" si="3"/>
        <v>-0.47385866602159027</v>
      </c>
      <c r="AD32" s="3">
        <f t="shared" si="0"/>
        <v>0.629199349043707</v>
      </c>
      <c r="AE32" s="3">
        <f>AD32/SUM($AD$28:$AD$32)*100</f>
        <v>11.223805101925697</v>
      </c>
      <c r="AG32" s="2">
        <f>AD32/AD17*100</f>
        <v>0.3279502756750283</v>
      </c>
      <c r="AH32" s="1" t="s">
        <v>161</v>
      </c>
      <c r="AL32" s="3">
        <f>(AD32*1000)/(Q_monthly_by_region!AA31/10000)</f>
        <v>0.006388197300366171</v>
      </c>
      <c r="AM32" s="3">
        <f>(1000*SUM(AD28:AD32))/(2768.5*100)</f>
        <v>0.020249001852030445</v>
      </c>
      <c r="AO32" s="135" t="s">
        <v>791</v>
      </c>
      <c r="AP32" s="141">
        <f>SUM(AD58:AD62)</f>
        <v>6979.974646967592</v>
      </c>
      <c r="AQ32" s="141">
        <f>SUM(C58:N62)</f>
        <v>5879.567631460815</v>
      </c>
      <c r="AR32" s="141">
        <f>SUM(O58:Z62)</f>
        <v>8080.381662474369</v>
      </c>
      <c r="AS32" s="240">
        <f t="shared" si="4"/>
        <v>0.3153040150324448</v>
      </c>
      <c r="AT32" s="217">
        <f>(-AVERAGE(Q_monthly_by_region!AD2:AO2)+AVERAGE(Q_monthly_by_region!AP2:BA2))/AVERAGE(Q_monthly_by_region!AD2:BA2)</f>
        <v>0.25198000674960236</v>
      </c>
      <c r="AU32" s="141"/>
      <c r="AV32" s="219"/>
    </row>
    <row r="33" spans="1:51" ht="17.25">
      <c r="A33" t="s">
        <v>156</v>
      </c>
      <c r="B33" t="s">
        <v>253</v>
      </c>
      <c r="C33">
        <v>0.068244429361799</v>
      </c>
      <c r="D33">
        <v>0.014436685131016</v>
      </c>
      <c r="E33">
        <v>0.011752834059695</v>
      </c>
      <c r="F33">
        <v>0.035811754384774</v>
      </c>
      <c r="G33">
        <v>0.037043690243326</v>
      </c>
      <c r="H33">
        <v>0.0176212347285</v>
      </c>
      <c r="I33">
        <v>0.008394101775864</v>
      </c>
      <c r="J33">
        <v>0.012674287222307</v>
      </c>
      <c r="K33">
        <v>0.068398517159278</v>
      </c>
      <c r="L33">
        <v>0.060663399130852</v>
      </c>
      <c r="M33">
        <v>0.073981912077986</v>
      </c>
      <c r="N33">
        <v>0.067505987863818</v>
      </c>
      <c r="O33">
        <v>0.06244291395137</v>
      </c>
      <c r="P33">
        <v>0.0488677407599</v>
      </c>
      <c r="Q33">
        <v>0.05050462272965</v>
      </c>
      <c r="R33">
        <v>0.001217143334573</v>
      </c>
      <c r="S33">
        <v>0.003591727537214</v>
      </c>
      <c r="T33">
        <v>0</v>
      </c>
      <c r="U33">
        <v>0.022340415535021</v>
      </c>
      <c r="V33">
        <v>0.01757299075111</v>
      </c>
      <c r="W33">
        <v>0.004795428039461</v>
      </c>
      <c r="X33">
        <v>0.007233930430382</v>
      </c>
      <c r="Y33">
        <v>0.08492110044978</v>
      </c>
      <c r="Z33">
        <v>0.087181619091177</v>
      </c>
      <c r="AA33">
        <f t="shared" si="1"/>
        <v>0.47652883313921496</v>
      </c>
      <c r="AB33">
        <f t="shared" si="2"/>
        <v>0.39066963260963805</v>
      </c>
      <c r="AC33">
        <f t="shared" si="3"/>
        <v>0.19801511169749322</v>
      </c>
      <c r="AD33" s="3">
        <f t="shared" si="0"/>
        <v>0.43359923287442637</v>
      </c>
      <c r="AE33" s="3">
        <f>AD33/SUM($AD$33:$AD$37)*100</f>
        <v>1.306841487737297</v>
      </c>
      <c r="AL33" s="3">
        <f>(AD33*1000)/(Q_monthly_by_region!AA32/10000)</f>
        <v>0.017103089403813745</v>
      </c>
      <c r="AM33" s="3"/>
      <c r="AO33" s="135" t="s">
        <v>792</v>
      </c>
      <c r="AP33" s="141">
        <f>AP21+AP29</f>
        <v>428.75433477586716</v>
      </c>
      <c r="AQ33" s="141">
        <f>AQ29+AQ21</f>
        <v>377.4357842485714</v>
      </c>
      <c r="AR33" s="141">
        <f>AR29+AR21</f>
        <v>480.07288530316305</v>
      </c>
      <c r="AS33" s="240">
        <f t="shared" si="4"/>
        <v>0.23938440437749872</v>
      </c>
      <c r="AT33" s="217">
        <f>(-AVERAGE(Q_monthly_by_region!AD2:AO2)+AVERAGE(Q_monthly_by_region!AP2:BA2))/AVERAGE(Q_monthly_by_region!AD2:BA2)</f>
        <v>0.25198000674960236</v>
      </c>
      <c r="AU33" s="141"/>
      <c r="AV33" s="218">
        <f>AP33/AP31</f>
        <v>0.46330367063489963</v>
      </c>
      <c r="AY33" t="s">
        <v>797</v>
      </c>
    </row>
    <row r="34" spans="1:39" ht="12.75">
      <c r="A34" t="s">
        <v>156</v>
      </c>
      <c r="B34" t="s">
        <v>149</v>
      </c>
      <c r="C34">
        <v>2.95006136105258</v>
      </c>
      <c r="D34">
        <v>0.76897356034868</v>
      </c>
      <c r="E34">
        <v>1.28256598149055</v>
      </c>
      <c r="F34">
        <v>1.92449614240491</v>
      </c>
      <c r="G34">
        <v>1.15422992918905</v>
      </c>
      <c r="H34">
        <v>0.523927196544834</v>
      </c>
      <c r="I34">
        <v>0.123313321047811</v>
      </c>
      <c r="J34">
        <v>0.253426657849166</v>
      </c>
      <c r="K34">
        <v>0.185847288293679</v>
      </c>
      <c r="L34">
        <v>0.599591456995708</v>
      </c>
      <c r="M34">
        <v>1.49802491985672</v>
      </c>
      <c r="N34">
        <v>5.14000700613653</v>
      </c>
      <c r="O34">
        <v>7.66161192244666</v>
      </c>
      <c r="P34">
        <v>3.29285454833048</v>
      </c>
      <c r="Q34">
        <v>1.56795499782297</v>
      </c>
      <c r="R34">
        <v>1.28319930276847</v>
      </c>
      <c r="S34">
        <v>0.833802546367892</v>
      </c>
      <c r="T34">
        <v>0.868306273034214</v>
      </c>
      <c r="U34">
        <v>0.411537788402523</v>
      </c>
      <c r="V34">
        <v>0.353709534403792</v>
      </c>
      <c r="W34">
        <v>0.127683951285668</v>
      </c>
      <c r="X34">
        <v>0.105959021648931</v>
      </c>
      <c r="Y34">
        <v>7.08365460484172</v>
      </c>
      <c r="Z34">
        <v>1.49560320514845</v>
      </c>
      <c r="AA34">
        <f t="shared" si="1"/>
        <v>16.40446482121022</v>
      </c>
      <c r="AB34">
        <f t="shared" si="2"/>
        <v>25.08587769650177</v>
      </c>
      <c r="AC34">
        <f t="shared" si="3"/>
        <v>-0.41847872774660777</v>
      </c>
      <c r="AD34" s="3">
        <f t="shared" si="0"/>
        <v>20.745171258855994</v>
      </c>
      <c r="AE34" s="3">
        <f>AD34/SUM($AD$33:$AD$37)*100</f>
        <v>62.52467351375558</v>
      </c>
      <c r="AL34" s="3">
        <f>(AD34*1000)/(Q_monthly_by_region!AA33/10000)</f>
        <v>0.6198001325801441</v>
      </c>
      <c r="AM34" s="3"/>
    </row>
    <row r="35" spans="1:51" ht="17.25">
      <c r="A35" t="s">
        <v>156</v>
      </c>
      <c r="B35" t="s">
        <v>254</v>
      </c>
      <c r="C35">
        <v>0.751962209323846</v>
      </c>
      <c r="D35">
        <v>0.324914960066024</v>
      </c>
      <c r="E35">
        <v>0.592311864614345</v>
      </c>
      <c r="F35">
        <v>0.5065726779799</v>
      </c>
      <c r="G35">
        <v>0.266447425133865</v>
      </c>
      <c r="H35">
        <v>0.281390993190203</v>
      </c>
      <c r="I35">
        <v>0.208278971079254</v>
      </c>
      <c r="J35">
        <v>0.136952774591548</v>
      </c>
      <c r="K35">
        <v>0.164532924144517</v>
      </c>
      <c r="L35">
        <v>0.185231562612218</v>
      </c>
      <c r="M35">
        <v>0.309652825283174</v>
      </c>
      <c r="N35">
        <v>0.649689445126955</v>
      </c>
      <c r="O35">
        <v>0.769001691486124</v>
      </c>
      <c r="P35">
        <v>0.451192520837462</v>
      </c>
      <c r="Q35">
        <v>0.194460800244843</v>
      </c>
      <c r="R35">
        <v>0.19842158253159</v>
      </c>
      <c r="S35">
        <v>0.203455310419204</v>
      </c>
      <c r="T35">
        <v>0.118438474354966</v>
      </c>
      <c r="U35">
        <v>0.137408007764474</v>
      </c>
      <c r="V35">
        <v>0.099371557367099</v>
      </c>
      <c r="W35">
        <v>0.090886932547814</v>
      </c>
      <c r="X35">
        <v>0.115022028148624</v>
      </c>
      <c r="Y35">
        <v>0.609688596013186</v>
      </c>
      <c r="Z35">
        <v>0.732369330451709</v>
      </c>
      <c r="AA35">
        <f t="shared" si="1"/>
        <v>4.377938633145849</v>
      </c>
      <c r="AB35">
        <f t="shared" si="2"/>
        <v>3.719716832167095</v>
      </c>
      <c r="AC35">
        <f t="shared" si="3"/>
        <v>0.16257095743287872</v>
      </c>
      <c r="AD35" s="3">
        <f t="shared" si="0"/>
        <v>4.048827732656472</v>
      </c>
      <c r="AE35" s="3">
        <f>AD35/SUM($AD$33:$AD$37)*100</f>
        <v>12.202918401539643</v>
      </c>
      <c r="AL35" s="3">
        <f>(AD35*1000)/(Q_monthly_by_region!AA34/10000)</f>
        <v>0.07007585105122278</v>
      </c>
      <c r="AM35" s="3"/>
      <c r="AP35">
        <v>214</v>
      </c>
      <c r="AQ35">
        <v>77</v>
      </c>
      <c r="AR35">
        <v>351</v>
      </c>
      <c r="AS35" s="240">
        <f>AP35/$AP$28</f>
        <v>0.43114274299619765</v>
      </c>
      <c r="AT35" s="240">
        <f>AQ35/$AP$28</f>
        <v>0.15513080005003374</v>
      </c>
      <c r="AU35" s="240">
        <f>AR35/$AP$28</f>
        <v>0.7071546859423616</v>
      </c>
      <c r="AY35" s="7"/>
    </row>
    <row r="36" spans="1:51" ht="12.75">
      <c r="A36" t="s">
        <v>156</v>
      </c>
      <c r="B36" t="s">
        <v>255</v>
      </c>
      <c r="C36">
        <v>0.880912831046182</v>
      </c>
      <c r="D36">
        <v>0.245169084472083</v>
      </c>
      <c r="E36">
        <v>1.18853564815168</v>
      </c>
      <c r="F36">
        <v>0.634838046885325</v>
      </c>
      <c r="G36">
        <v>0.31347988943844</v>
      </c>
      <c r="H36">
        <v>0.275632218488623</v>
      </c>
      <c r="I36">
        <v>0.226004714123062</v>
      </c>
      <c r="J36">
        <v>0.131902318614655</v>
      </c>
      <c r="K36">
        <v>0.184368778988874</v>
      </c>
      <c r="L36">
        <v>0.207098051096853</v>
      </c>
      <c r="M36">
        <v>0.272141979731574</v>
      </c>
      <c r="N36">
        <v>0.630271600693216</v>
      </c>
      <c r="O36">
        <v>0.740200321198392</v>
      </c>
      <c r="P36">
        <v>0.396031189756342</v>
      </c>
      <c r="Q36">
        <v>0.194683630113424</v>
      </c>
      <c r="R36">
        <v>0.127769629656129</v>
      </c>
      <c r="S36">
        <v>0.177360701242833</v>
      </c>
      <c r="T36">
        <v>0.087936410983822</v>
      </c>
      <c r="U36">
        <v>0.118965508104581</v>
      </c>
      <c r="V36">
        <v>0.061789014615258</v>
      </c>
      <c r="W36">
        <v>0.065167916731412</v>
      </c>
      <c r="X36">
        <v>0.08872811327148</v>
      </c>
      <c r="Y36">
        <v>0.548479814165014</v>
      </c>
      <c r="Z36">
        <v>0.484975242014175</v>
      </c>
      <c r="AA36">
        <f t="shared" si="1"/>
        <v>5.190355161730566</v>
      </c>
      <c r="AB36">
        <f t="shared" si="2"/>
        <v>3.0920874918528622</v>
      </c>
      <c r="AC36">
        <f t="shared" si="3"/>
        <v>0.5066784661575364</v>
      </c>
      <c r="AD36" s="3">
        <f t="shared" si="0"/>
        <v>4.141221326791714</v>
      </c>
      <c r="AE36" s="3">
        <f>AD36/SUM($AD$33:$AD$37)*100</f>
        <v>12.481387026164874</v>
      </c>
      <c r="AL36" s="3">
        <f>(AD36*1000)/(Q_monthly_by_region!AA35/10000)</f>
        <v>0.06705852550185476</v>
      </c>
      <c r="AM36" s="3"/>
      <c r="AP36" s="1" t="s">
        <v>793</v>
      </c>
      <c r="AS36">
        <f>AP35/$AP$31</f>
        <v>0.23124427550732043</v>
      </c>
      <c r="AT36">
        <f>AQ35/$AP$31</f>
        <v>0.08320471595356857</v>
      </c>
      <c r="AU36">
        <f>AR35/$AP$31</f>
        <v>0.37928383506107227</v>
      </c>
      <c r="AY36" s="7"/>
    </row>
    <row r="37" spans="1:51" ht="12.75">
      <c r="A37" t="s">
        <v>156</v>
      </c>
      <c r="B37" t="s">
        <v>256</v>
      </c>
      <c r="C37">
        <v>0.273998826026358</v>
      </c>
      <c r="D37">
        <v>0.137210297541817</v>
      </c>
      <c r="E37">
        <v>0.258398573137963</v>
      </c>
      <c r="F37">
        <v>0.18801927589642</v>
      </c>
      <c r="G37">
        <v>0.334768339010411</v>
      </c>
      <c r="H37">
        <v>0.119964674871966</v>
      </c>
      <c r="I37">
        <v>0.054411507406426</v>
      </c>
      <c r="J37">
        <v>0.073245590335529</v>
      </c>
      <c r="K37">
        <v>0.123377820049628</v>
      </c>
      <c r="L37">
        <v>0.128486668961449</v>
      </c>
      <c r="M37">
        <v>0.147777279585273</v>
      </c>
      <c r="N37">
        <v>0.873130749555935</v>
      </c>
      <c r="O37">
        <v>1.39158003524523</v>
      </c>
      <c r="P37">
        <v>0.492781003196479</v>
      </c>
      <c r="Q37">
        <v>0.168817314942247</v>
      </c>
      <c r="R37">
        <v>0.163858806927084</v>
      </c>
      <c r="S37">
        <v>0.446514755091097</v>
      </c>
      <c r="T37">
        <v>0.035898963469948</v>
      </c>
      <c r="U37">
        <v>0.70893692249023</v>
      </c>
      <c r="V37">
        <v>0.05049662430021</v>
      </c>
      <c r="W37">
        <v>0.12529430433147</v>
      </c>
      <c r="X37">
        <v>0.161308187849311</v>
      </c>
      <c r="Y37">
        <v>0.623370829263533</v>
      </c>
      <c r="Z37">
        <v>0.53906487738686</v>
      </c>
      <c r="AA37">
        <f t="shared" si="1"/>
        <v>2.712789602379175</v>
      </c>
      <c r="AB37">
        <f t="shared" si="2"/>
        <v>4.907922624493699</v>
      </c>
      <c r="AC37">
        <f t="shared" si="3"/>
        <v>-0.5760965528586263</v>
      </c>
      <c r="AD37" s="3">
        <f t="shared" si="0"/>
        <v>3.8103561134364363</v>
      </c>
      <c r="AE37" s="3">
        <f>AD37/SUM($AD$33:$AD$37)*100</f>
        <v>11.484179570802626</v>
      </c>
      <c r="AL37" s="3">
        <f>(AD37*1000)/(Q_monthly_by_region!AA36/10000)</f>
        <v>0.03868615991781251</v>
      </c>
      <c r="AM37" s="3">
        <f>(1000*SUM(AD33:AD37))/(2768.5*100)</f>
        <v>0.11984531574720982</v>
      </c>
      <c r="AP37" s="1">
        <f>AP20/AP21</f>
        <v>23.140885716076163</v>
      </c>
      <c r="AY37" s="7"/>
    </row>
    <row r="38" spans="1:42" ht="12.75">
      <c r="A38" t="s">
        <v>157</v>
      </c>
      <c r="B38" t="s">
        <v>253</v>
      </c>
      <c r="C38">
        <v>268.06135705669</v>
      </c>
      <c r="D38">
        <v>59.9605290156845</v>
      </c>
      <c r="E38">
        <v>46.1723468643739</v>
      </c>
      <c r="F38">
        <v>174.78817459067</v>
      </c>
      <c r="G38">
        <v>151.772161834654</v>
      </c>
      <c r="H38">
        <v>60.668260996672</v>
      </c>
      <c r="I38">
        <v>27.8686111332138</v>
      </c>
      <c r="J38">
        <v>29.200489861486</v>
      </c>
      <c r="K38">
        <v>145.876487151947</v>
      </c>
      <c r="L38">
        <v>165.873069865121</v>
      </c>
      <c r="M38">
        <v>241.056238767218</v>
      </c>
      <c r="N38">
        <v>295.67512289037</v>
      </c>
      <c r="O38">
        <v>497.191665866478</v>
      </c>
      <c r="P38">
        <v>283.436582047156</v>
      </c>
      <c r="Q38">
        <v>251.369948639854</v>
      </c>
      <c r="R38">
        <v>104.584343070692</v>
      </c>
      <c r="S38">
        <v>17.2911777007645</v>
      </c>
      <c r="T38">
        <v>85.2222936719156</v>
      </c>
      <c r="U38">
        <v>57.2563707393417</v>
      </c>
      <c r="V38">
        <v>22.0367512000267</v>
      </c>
      <c r="W38">
        <v>13.7161027665711</v>
      </c>
      <c r="X38">
        <v>13.4093134858184</v>
      </c>
      <c r="Y38">
        <v>199.832833957669</v>
      </c>
      <c r="Z38">
        <v>392.792994195106</v>
      </c>
      <c r="AA38">
        <f t="shared" si="1"/>
        <v>1666.9728500281003</v>
      </c>
      <c r="AB38">
        <f t="shared" si="2"/>
        <v>1938.140377341393</v>
      </c>
      <c r="AC38">
        <f t="shared" si="3"/>
        <v>-0.15043495735702753</v>
      </c>
      <c r="AD38" s="3">
        <f t="shared" si="0"/>
        <v>1802.5566136847465</v>
      </c>
      <c r="AE38" s="3">
        <f>AD38/SUM($AD$38:$AD$42)*100</f>
        <v>8.17430226212037</v>
      </c>
      <c r="AL38" s="3">
        <f>(AD38*1000)/(Q_monthly_by_region!AA37/10000)</f>
        <v>71.10087975689378</v>
      </c>
      <c r="AM38" s="3"/>
      <c r="AP38" s="1" t="s">
        <v>794</v>
      </c>
    </row>
    <row r="39" spans="1:51" ht="12.75">
      <c r="A39" t="s">
        <v>157</v>
      </c>
      <c r="B39" t="s">
        <v>149</v>
      </c>
      <c r="C39">
        <v>966.382473948258</v>
      </c>
      <c r="D39">
        <v>254.944894636306</v>
      </c>
      <c r="E39">
        <v>499.267777570087</v>
      </c>
      <c r="F39">
        <v>682.420482796144</v>
      </c>
      <c r="G39">
        <v>452.939456380047</v>
      </c>
      <c r="H39">
        <v>192.887070744734</v>
      </c>
      <c r="I39">
        <v>150.920484957094</v>
      </c>
      <c r="J39">
        <v>105.089632743198</v>
      </c>
      <c r="K39">
        <v>90.1911991927259</v>
      </c>
      <c r="L39">
        <v>238.531483688961</v>
      </c>
      <c r="M39">
        <v>561.272236954592</v>
      </c>
      <c r="N39">
        <v>1950.25842810936</v>
      </c>
      <c r="O39">
        <v>3153.56373513904</v>
      </c>
      <c r="P39">
        <v>985.03022771635</v>
      </c>
      <c r="Q39">
        <v>570.053046296531</v>
      </c>
      <c r="R39">
        <v>453.449268408956</v>
      </c>
      <c r="S39">
        <v>267.715640548142</v>
      </c>
      <c r="T39">
        <v>254.67587652545</v>
      </c>
      <c r="U39">
        <v>144.145551702626</v>
      </c>
      <c r="V39">
        <v>111.63417762603</v>
      </c>
      <c r="W39">
        <v>81.0658626588317</v>
      </c>
      <c r="X39">
        <v>79.1433121490163</v>
      </c>
      <c r="Y39">
        <v>2086.61118440544</v>
      </c>
      <c r="Z39">
        <v>1344.41615878431</v>
      </c>
      <c r="AA39">
        <f t="shared" si="1"/>
        <v>6145.105621721506</v>
      </c>
      <c r="AB39">
        <f t="shared" si="2"/>
        <v>9531.504041960723</v>
      </c>
      <c r="AC39">
        <f t="shared" si="3"/>
        <v>-0.4320319881516775</v>
      </c>
      <c r="AD39" s="3">
        <f t="shared" si="0"/>
        <v>7838.304831841115</v>
      </c>
      <c r="AE39" s="3">
        <f>AD39/SUM($AD$38:$AD$42)*100</f>
        <v>35.54544275152164</v>
      </c>
      <c r="AL39" s="3">
        <f>(AD39*1000)/(Q_monthly_by_region!AA38/10000)</f>
        <v>234.18376803733432</v>
      </c>
      <c r="AM39" s="3"/>
      <c r="AP39" s="1">
        <f>AP30/AP29</f>
        <v>10.150728110542488</v>
      </c>
      <c r="AY39" s="7"/>
    </row>
    <row r="40" spans="1:51" ht="12.75" customHeight="1">
      <c r="A40" t="s">
        <v>157</v>
      </c>
      <c r="B40" t="s">
        <v>254</v>
      </c>
      <c r="C40">
        <v>497.01112611541</v>
      </c>
      <c r="D40">
        <v>215.286659735912</v>
      </c>
      <c r="E40">
        <v>323.028031617426</v>
      </c>
      <c r="F40">
        <v>447.490166709708</v>
      </c>
      <c r="G40">
        <v>257.959074694194</v>
      </c>
      <c r="H40">
        <v>208.757620632552</v>
      </c>
      <c r="I40">
        <v>159.889900329563</v>
      </c>
      <c r="J40">
        <v>68.0746799667773</v>
      </c>
      <c r="K40">
        <v>54.9642393997105</v>
      </c>
      <c r="L40">
        <v>92.3470716308006</v>
      </c>
      <c r="M40">
        <v>173.868794444584</v>
      </c>
      <c r="N40">
        <v>381.579228905343</v>
      </c>
      <c r="O40">
        <v>578.429531077385</v>
      </c>
      <c r="P40">
        <v>295.941009158965</v>
      </c>
      <c r="Q40">
        <v>148.836741132943</v>
      </c>
      <c r="R40">
        <v>149.115077436395</v>
      </c>
      <c r="S40">
        <v>71.3923082292731</v>
      </c>
      <c r="T40">
        <v>79.4111983174456</v>
      </c>
      <c r="U40">
        <v>58.7438882916209</v>
      </c>
      <c r="V40">
        <v>50.7374293076851</v>
      </c>
      <c r="W40">
        <v>40.2465736653645</v>
      </c>
      <c r="X40">
        <v>51.954626175222</v>
      </c>
      <c r="Y40">
        <v>394.134572623714</v>
      </c>
      <c r="Z40">
        <v>641.357964765046</v>
      </c>
      <c r="AA40">
        <f t="shared" si="1"/>
        <v>2880.2565941819803</v>
      </c>
      <c r="AB40">
        <f t="shared" si="2"/>
        <v>2560.3009201810587</v>
      </c>
      <c r="AC40">
        <f t="shared" si="3"/>
        <v>0.11761870843428839</v>
      </c>
      <c r="AD40" s="3">
        <f t="shared" si="0"/>
        <v>2720.27875718152</v>
      </c>
      <c r="AE40" s="3">
        <f>AD40/SUM($AD$38:$AD$42)*100</f>
        <v>12.336023528809879</v>
      </c>
      <c r="AL40" s="3">
        <f>(AD40*1000)/(Q_monthly_by_region!AA39/10000)</f>
        <v>47.08173861499075</v>
      </c>
      <c r="AM40" s="3"/>
      <c r="AP40" s="1" t="s">
        <v>795</v>
      </c>
      <c r="AY40" s="7"/>
    </row>
    <row r="41" spans="1:51" ht="12.75">
      <c r="A41" t="s">
        <v>157</v>
      </c>
      <c r="B41" t="s">
        <v>255</v>
      </c>
      <c r="C41">
        <v>582.768946210767</v>
      </c>
      <c r="D41">
        <v>193.041445380161</v>
      </c>
      <c r="E41">
        <v>386.138870307034</v>
      </c>
      <c r="F41">
        <v>462.096696004102</v>
      </c>
      <c r="G41">
        <v>271.561745027768</v>
      </c>
      <c r="H41">
        <v>234.483518690693</v>
      </c>
      <c r="I41">
        <v>190.9477703866</v>
      </c>
      <c r="J41">
        <v>81.9683959963949</v>
      </c>
      <c r="K41">
        <v>61.8705148209212</v>
      </c>
      <c r="L41">
        <v>108.183628383438</v>
      </c>
      <c r="M41">
        <v>184.373471246406</v>
      </c>
      <c r="N41">
        <v>405.263038449985</v>
      </c>
      <c r="O41">
        <v>583.565829295555</v>
      </c>
      <c r="P41">
        <v>311.483076653408</v>
      </c>
      <c r="Q41">
        <v>170.114336051519</v>
      </c>
      <c r="R41">
        <v>162.226465681065</v>
      </c>
      <c r="S41">
        <v>77.7591119972569</v>
      </c>
      <c r="T41">
        <v>88.3304332223318</v>
      </c>
      <c r="U41">
        <v>64.4071341713533</v>
      </c>
      <c r="V41">
        <v>37.6793360543475</v>
      </c>
      <c r="W41">
        <v>41.5808008428881</v>
      </c>
      <c r="X41">
        <v>44.4784257297464</v>
      </c>
      <c r="Y41">
        <v>390.273232926123</v>
      </c>
      <c r="Z41">
        <v>555.192500928007</v>
      </c>
      <c r="AA41">
        <f t="shared" si="1"/>
        <v>3162.69804090427</v>
      </c>
      <c r="AB41">
        <f t="shared" si="2"/>
        <v>2527.090683553601</v>
      </c>
      <c r="AC41">
        <f t="shared" si="3"/>
        <v>0.22342037222523767</v>
      </c>
      <c r="AD41" s="3">
        <f t="shared" si="0"/>
        <v>2844.894362228935</v>
      </c>
      <c r="AE41" s="3">
        <f>AD41/SUM($AD$38:$AD$42)*100</f>
        <v>12.90113511226927</v>
      </c>
      <c r="AL41" s="3">
        <f>(AD41*1000)/(Q_monthly_by_region!AA40/10000)</f>
        <v>46.06718793448515</v>
      </c>
      <c r="AM41" s="3"/>
      <c r="AO41" t="s">
        <v>652</v>
      </c>
      <c r="AP41" s="1">
        <f>AP32/AP33</f>
        <v>16.279659657823398</v>
      </c>
      <c r="AY41" s="7"/>
    </row>
    <row r="42" spans="1:51" ht="12.75">
      <c r="A42" t="s">
        <v>157</v>
      </c>
      <c r="B42" t="s">
        <v>256</v>
      </c>
      <c r="C42">
        <v>796.82964705832</v>
      </c>
      <c r="D42">
        <v>302.996604794204</v>
      </c>
      <c r="E42">
        <v>433.332294862681</v>
      </c>
      <c r="F42">
        <v>639.599919525331</v>
      </c>
      <c r="G42">
        <v>709.453828882366</v>
      </c>
      <c r="H42">
        <v>390.273150694219</v>
      </c>
      <c r="I42">
        <v>238.564289900412</v>
      </c>
      <c r="J42">
        <v>145.435997362744</v>
      </c>
      <c r="K42">
        <v>116.966772853215</v>
      </c>
      <c r="L42">
        <v>210.782594505889</v>
      </c>
      <c r="M42">
        <v>439.989608035284</v>
      </c>
      <c r="N42">
        <v>1372.60676547514</v>
      </c>
      <c r="O42">
        <v>2000.13971463783</v>
      </c>
      <c r="P42">
        <v>865.60216929052</v>
      </c>
      <c r="Q42">
        <v>678.938192742639</v>
      </c>
      <c r="R42">
        <v>569.694232286764</v>
      </c>
      <c r="S42">
        <v>780.483486978073</v>
      </c>
      <c r="T42">
        <v>518.045754890216</v>
      </c>
      <c r="U42">
        <v>454.460631533177</v>
      </c>
      <c r="V42">
        <v>139.131446842255</v>
      </c>
      <c r="W42">
        <v>96.7212784971421</v>
      </c>
      <c r="X42">
        <v>109.218750122113</v>
      </c>
      <c r="Y42">
        <v>1106.43119374142</v>
      </c>
      <c r="Z42">
        <v>575.241116680937</v>
      </c>
      <c r="AA42">
        <f t="shared" si="1"/>
        <v>5796.8314739498055</v>
      </c>
      <c r="AB42">
        <f t="shared" si="2"/>
        <v>7894.107968243087</v>
      </c>
      <c r="AC42">
        <f t="shared" si="3"/>
        <v>-0.3063743730879229</v>
      </c>
      <c r="AD42" s="3">
        <f t="shared" si="0"/>
        <v>6845.469721096444</v>
      </c>
      <c r="AE42" s="3">
        <f>AD42/SUM($AD$38:$AD$42)*100</f>
        <v>31.043096345278848</v>
      </c>
      <c r="AL42" s="3">
        <f>(AD42*1000)/(Q_monthly_by_region!AA41/10000)</f>
        <v>69.50136114811679</v>
      </c>
      <c r="AM42" s="3">
        <f>(1000*SUM(AD38:AD42))/(2768.5*100)</f>
        <v>79.65145127698305</v>
      </c>
      <c r="AO42" t="s">
        <v>653</v>
      </c>
      <c r="AP42">
        <v>20.12905544147844</v>
      </c>
      <c r="AY42" s="7"/>
    </row>
    <row r="43" spans="1:51" ht="12.75">
      <c r="A43" t="s">
        <v>613</v>
      </c>
      <c r="B43" t="s">
        <v>253</v>
      </c>
      <c r="C43">
        <v>9.62624608167262</v>
      </c>
      <c r="D43">
        <v>0.66506161017641</v>
      </c>
      <c r="E43">
        <v>0.903940114600283</v>
      </c>
      <c r="F43">
        <v>1.40266179689909</v>
      </c>
      <c r="G43">
        <v>2.71802469784171</v>
      </c>
      <c r="H43">
        <v>0.837078941033012</v>
      </c>
      <c r="I43">
        <v>0.55424978131014</v>
      </c>
      <c r="J43">
        <v>0.327119853743304</v>
      </c>
      <c r="K43">
        <v>1.31301162242738</v>
      </c>
      <c r="L43">
        <v>0.806753888736743</v>
      </c>
      <c r="M43">
        <v>2.53227442312083</v>
      </c>
      <c r="N43">
        <v>1.97917341389123</v>
      </c>
      <c r="O43">
        <v>6.34966790893402</v>
      </c>
      <c r="P43">
        <v>5.30838394882645</v>
      </c>
      <c r="Q43">
        <v>4.51152756876927</v>
      </c>
      <c r="R43">
        <v>2.61958369529969</v>
      </c>
      <c r="S43">
        <v>0.158482086204223</v>
      </c>
      <c r="T43">
        <v>0.584720229275185</v>
      </c>
      <c r="U43">
        <v>0.312438536875553</v>
      </c>
      <c r="V43">
        <v>0.018053165932186</v>
      </c>
      <c r="W43">
        <v>0.130204646683602</v>
      </c>
      <c r="X43">
        <v>0.203027532201162</v>
      </c>
      <c r="Y43">
        <v>0.191082653068889</v>
      </c>
      <c r="Z43">
        <v>0.816072251330392</v>
      </c>
      <c r="AA43">
        <f t="shared" si="1"/>
        <v>23.66559622545276</v>
      </c>
      <c r="AB43">
        <f t="shared" si="2"/>
        <v>21.203244223400624</v>
      </c>
      <c r="AC43">
        <f t="shared" si="3"/>
        <v>0.10975777298541982</v>
      </c>
      <c r="AD43" s="3">
        <f t="shared" si="0"/>
        <v>22.434420224426688</v>
      </c>
      <c r="AE43" s="3">
        <f>AD43/SUM($AD$43:$AD$47)*100</f>
        <v>9.906472049449983</v>
      </c>
      <c r="AL43" s="3">
        <f>(AD43*1000)/(Q_monthly_by_region!AA42/10000)</f>
        <v>0.8849136846425618</v>
      </c>
      <c r="AM43" s="3"/>
      <c r="AY43" s="7"/>
    </row>
    <row r="44" spans="1:51" ht="12.75">
      <c r="A44" t="s">
        <v>613</v>
      </c>
      <c r="B44" t="s">
        <v>149</v>
      </c>
      <c r="C44">
        <v>2.29140847739262</v>
      </c>
      <c r="D44">
        <v>0.362303509039704</v>
      </c>
      <c r="E44">
        <v>3.43909727514998</v>
      </c>
      <c r="F44">
        <v>1.14291966224459</v>
      </c>
      <c r="G44">
        <v>2.37907383349045</v>
      </c>
      <c r="H44">
        <v>14.0379743362587</v>
      </c>
      <c r="I44">
        <v>0.797296957832243</v>
      </c>
      <c r="J44">
        <v>1.35640389306171</v>
      </c>
      <c r="K44">
        <v>0.42565380908067</v>
      </c>
      <c r="L44">
        <v>0.410942863346357</v>
      </c>
      <c r="M44">
        <v>2.80715423104534</v>
      </c>
      <c r="N44">
        <v>34.4135868675991</v>
      </c>
      <c r="O44">
        <v>21.0652485070539</v>
      </c>
      <c r="P44">
        <v>4.32754444238788</v>
      </c>
      <c r="Q44">
        <v>1.6545951532271</v>
      </c>
      <c r="R44">
        <v>1.28798572855747</v>
      </c>
      <c r="S44">
        <v>1.51325722159635</v>
      </c>
      <c r="T44">
        <v>5.41597637216977</v>
      </c>
      <c r="U44">
        <v>0.363796939121648</v>
      </c>
      <c r="V44">
        <v>1.32605665486185</v>
      </c>
      <c r="W44">
        <v>0.325706305934964</v>
      </c>
      <c r="X44">
        <v>0.176004972304386</v>
      </c>
      <c r="Y44">
        <v>111.897648396183</v>
      </c>
      <c r="Z44">
        <v>4.19954750103556</v>
      </c>
      <c r="AA44">
        <f t="shared" si="1"/>
        <v>63.86381571554146</v>
      </c>
      <c r="AB44">
        <f t="shared" si="2"/>
        <v>153.5533681944339</v>
      </c>
      <c r="AC44">
        <f t="shared" si="3"/>
        <v>-0.8250456644312867</v>
      </c>
      <c r="AD44" s="3">
        <f t="shared" si="0"/>
        <v>108.70859195498767</v>
      </c>
      <c r="AE44" s="3">
        <f>AD44/SUM($AD$43:$AD$47)*100</f>
        <v>48.00296227689429</v>
      </c>
      <c r="AL44" s="3">
        <f>(AD44*1000)/(Q_monthly_by_region!AA43/10000)</f>
        <v>3.247869051817976</v>
      </c>
      <c r="AM44" s="3"/>
      <c r="AY44" s="7"/>
    </row>
    <row r="45" spans="1:51" ht="12.75">
      <c r="A45" t="s">
        <v>613</v>
      </c>
      <c r="B45" t="s">
        <v>254</v>
      </c>
      <c r="C45">
        <v>3.31220048705584</v>
      </c>
      <c r="D45">
        <v>0.703665347175462</v>
      </c>
      <c r="E45">
        <v>1.73483365649091</v>
      </c>
      <c r="F45">
        <v>1.72195589357935</v>
      </c>
      <c r="G45">
        <v>1.42226378639698</v>
      </c>
      <c r="H45">
        <v>1.27087782492481</v>
      </c>
      <c r="I45">
        <v>0.997493906854982</v>
      </c>
      <c r="J45">
        <v>0.376862266710283</v>
      </c>
      <c r="K45">
        <v>0.686226253111244</v>
      </c>
      <c r="L45">
        <v>0.39993662529745</v>
      </c>
      <c r="M45">
        <v>0.892522599105324</v>
      </c>
      <c r="N45">
        <v>4.27292466270556</v>
      </c>
      <c r="O45">
        <v>4.62713113125102</v>
      </c>
      <c r="P45">
        <v>1.6864561959696</v>
      </c>
      <c r="Q45">
        <v>0.84048518253434</v>
      </c>
      <c r="R45">
        <v>0.595103752708679</v>
      </c>
      <c r="S45">
        <v>0.794015865584194</v>
      </c>
      <c r="T45">
        <v>0.779248519946561</v>
      </c>
      <c r="U45">
        <v>0.327856873558037</v>
      </c>
      <c r="V45">
        <v>0.476712327992265</v>
      </c>
      <c r="W45">
        <v>0.23904675626093</v>
      </c>
      <c r="X45">
        <v>0.116502215734307</v>
      </c>
      <c r="Y45">
        <v>2.45158565460877</v>
      </c>
      <c r="Z45">
        <v>1.03820548472819</v>
      </c>
      <c r="AA45">
        <f t="shared" si="1"/>
        <v>17.791763309408193</v>
      </c>
      <c r="AB45">
        <f t="shared" si="2"/>
        <v>13.972349960876894</v>
      </c>
      <c r="AC45">
        <f t="shared" si="3"/>
        <v>0.24048606778545337</v>
      </c>
      <c r="AD45" s="3">
        <f t="shared" si="0"/>
        <v>15.882056635142542</v>
      </c>
      <c r="AE45" s="3">
        <f>AD45/SUM($AD$43:$AD$47)*100</f>
        <v>7.01311415984417</v>
      </c>
      <c r="AL45" s="3">
        <f>(AD45*1000)/(Q_monthly_by_region!AA44/10000)</f>
        <v>0.2748816962931436</v>
      </c>
      <c r="AM45" s="3"/>
      <c r="AY45" s="7"/>
    </row>
    <row r="46" spans="1:51" ht="12.75">
      <c r="A46" t="s">
        <v>613</v>
      </c>
      <c r="B46" t="s">
        <v>255</v>
      </c>
      <c r="C46">
        <v>4.98367710072556</v>
      </c>
      <c r="D46">
        <v>0.620115070828086</v>
      </c>
      <c r="E46">
        <v>1.84978204012476</v>
      </c>
      <c r="F46">
        <v>2.59809490053513</v>
      </c>
      <c r="G46">
        <v>1.50042940457212</v>
      </c>
      <c r="H46">
        <v>0.567885548559084</v>
      </c>
      <c r="I46">
        <v>0.979478426144727</v>
      </c>
      <c r="J46">
        <v>0.270123841815829</v>
      </c>
      <c r="K46">
        <v>0.684250924566169</v>
      </c>
      <c r="L46">
        <v>0.561837360376193</v>
      </c>
      <c r="M46">
        <v>0.860088935009933</v>
      </c>
      <c r="N46">
        <v>7.03225263503953</v>
      </c>
      <c r="O46">
        <v>5.38217569987196</v>
      </c>
      <c r="P46">
        <v>1.61550994629138</v>
      </c>
      <c r="Q46">
        <v>0.841514440116437</v>
      </c>
      <c r="R46">
        <v>0.588809825587733</v>
      </c>
      <c r="S46">
        <v>0.555575496227093</v>
      </c>
      <c r="T46">
        <v>2.02723519750416</v>
      </c>
      <c r="U46">
        <v>0.397035849260438</v>
      </c>
      <c r="V46">
        <v>1.14044130114252</v>
      </c>
      <c r="W46">
        <v>0.170163919280673</v>
      </c>
      <c r="X46">
        <v>0.090277340771444</v>
      </c>
      <c r="Y46">
        <v>1.38042886792085</v>
      </c>
      <c r="Z46">
        <v>1.24871266269436</v>
      </c>
      <c r="AA46">
        <f t="shared" si="1"/>
        <v>22.50801618829712</v>
      </c>
      <c r="AB46">
        <f t="shared" si="2"/>
        <v>15.437880546669046</v>
      </c>
      <c r="AC46">
        <f t="shared" si="3"/>
        <v>0.37264296010762743</v>
      </c>
      <c r="AD46" s="3">
        <f t="shared" si="0"/>
        <v>18.972948367483085</v>
      </c>
      <c r="AE46" s="3">
        <f>AD46/SUM($AD$43:$AD$47)*100</f>
        <v>8.377973703705644</v>
      </c>
      <c r="AL46" s="3">
        <f>(AD46*1000)/(Q_monthly_by_region!AA45/10000)</f>
        <v>0.3072277093028284</v>
      </c>
      <c r="AM46" s="3"/>
      <c r="AY46" s="7"/>
    </row>
    <row r="47" spans="1:51" ht="12.75">
      <c r="A47" t="s">
        <v>613</v>
      </c>
      <c r="B47" t="s">
        <v>256</v>
      </c>
      <c r="C47">
        <v>3.95485413057905</v>
      </c>
      <c r="D47">
        <v>0.707600201467491</v>
      </c>
      <c r="E47">
        <v>1.93793831729295</v>
      </c>
      <c r="F47">
        <v>4.63377844713968</v>
      </c>
      <c r="G47">
        <v>4.11628869081465</v>
      </c>
      <c r="H47">
        <v>1.93699881075392</v>
      </c>
      <c r="I47">
        <v>1.35330542679631</v>
      </c>
      <c r="J47">
        <v>0.735123779353753</v>
      </c>
      <c r="K47">
        <v>0.795121742838089</v>
      </c>
      <c r="L47">
        <v>1.23340811570397</v>
      </c>
      <c r="M47">
        <v>2.01005000923598</v>
      </c>
      <c r="N47">
        <v>10.5223560479728</v>
      </c>
      <c r="O47">
        <v>8.99041639372121</v>
      </c>
      <c r="P47">
        <v>2.65155007188305</v>
      </c>
      <c r="Q47">
        <v>4.96915917612611</v>
      </c>
      <c r="R47">
        <v>2.38616912896333</v>
      </c>
      <c r="S47">
        <v>21.5969230761591</v>
      </c>
      <c r="T47">
        <v>4.01258257029001</v>
      </c>
      <c r="U47">
        <v>4.07802055238163</v>
      </c>
      <c r="V47">
        <v>1.92117155900022</v>
      </c>
      <c r="W47">
        <v>0.714783604499045</v>
      </c>
      <c r="X47">
        <v>0.438780883211017</v>
      </c>
      <c r="Y47">
        <v>33.6782251680986</v>
      </c>
      <c r="Z47">
        <v>1.55387438107423</v>
      </c>
      <c r="AA47">
        <f t="shared" si="1"/>
        <v>33.93682371994864</v>
      </c>
      <c r="AB47">
        <f t="shared" si="2"/>
        <v>86.99165656540754</v>
      </c>
      <c r="AC47">
        <f t="shared" si="3"/>
        <v>-0.8774580267653221</v>
      </c>
      <c r="AD47" s="3">
        <f t="shared" si="0"/>
        <v>60.46424014267809</v>
      </c>
      <c r="AE47" s="3">
        <f>AD47/SUM($AD$43:$AD$47)*100</f>
        <v>26.699477810105932</v>
      </c>
      <c r="AL47" s="3">
        <f>(AD47*1000)/(Q_monthly_by_region!AA46/10000)</f>
        <v>0.6138873096979586</v>
      </c>
      <c r="AM47" s="3"/>
      <c r="AY47" s="7"/>
    </row>
    <row r="48" spans="1:51" ht="12.75">
      <c r="A48" t="s">
        <v>789</v>
      </c>
      <c r="B48" t="s">
        <v>253</v>
      </c>
      <c r="C48">
        <v>130.081448021211</v>
      </c>
      <c r="D48">
        <v>14.5598479010873</v>
      </c>
      <c r="E48">
        <v>8.91722580560558</v>
      </c>
      <c r="F48">
        <v>22.3492714001908</v>
      </c>
      <c r="G48">
        <v>19.2932780791681</v>
      </c>
      <c r="H48">
        <v>8.83261429828887</v>
      </c>
      <c r="I48">
        <v>12.0327374578234</v>
      </c>
      <c r="J48">
        <v>2.4240204430866</v>
      </c>
      <c r="K48">
        <v>13.9996337333186</v>
      </c>
      <c r="L48">
        <v>8.08591093964324</v>
      </c>
      <c r="M48">
        <v>17.8106250709607</v>
      </c>
      <c r="N48">
        <v>23.5446752516889</v>
      </c>
      <c r="O48">
        <v>66.5135452179237</v>
      </c>
      <c r="P48">
        <v>42.9354713297662</v>
      </c>
      <c r="Q48">
        <v>46.1849556731906</v>
      </c>
      <c r="R48">
        <v>27.1616168690167</v>
      </c>
      <c r="S48">
        <v>1.26380354319506</v>
      </c>
      <c r="T48">
        <v>5.42335562994169</v>
      </c>
      <c r="U48">
        <v>2.08593384431994</v>
      </c>
      <c r="V48">
        <v>0.592403354636251</v>
      </c>
      <c r="W48">
        <v>1.16594730311909</v>
      </c>
      <c r="X48">
        <v>0.398279195685152</v>
      </c>
      <c r="Y48">
        <v>2.23905860459092</v>
      </c>
      <c r="Z48">
        <v>10.9136896848175</v>
      </c>
      <c r="AA48">
        <f t="shared" si="1"/>
        <v>281.93128840207305</v>
      </c>
      <c r="AB48">
        <f t="shared" si="2"/>
        <v>206.87806025020282</v>
      </c>
      <c r="AC48">
        <f t="shared" si="3"/>
        <v>0.3070858949764515</v>
      </c>
      <c r="AD48" s="3">
        <f t="shared" si="0"/>
        <v>244.40467432613792</v>
      </c>
      <c r="AE48" s="3">
        <f>AD48/SUM($AD$48:$AD$52)*100</f>
        <v>10.632037028753052</v>
      </c>
      <c r="AL48" s="3">
        <f>(AD48*1000)/(Q_monthly_by_region!AA47/10000)</f>
        <v>9.640411418625595</v>
      </c>
      <c r="AM48" s="3"/>
      <c r="AY48" s="7"/>
    </row>
    <row r="49" spans="1:51" ht="12.75">
      <c r="A49" t="s">
        <v>789</v>
      </c>
      <c r="B49" t="s">
        <v>149</v>
      </c>
      <c r="C49">
        <v>37.8301357954701</v>
      </c>
      <c r="D49">
        <v>6.89121662262449</v>
      </c>
      <c r="E49">
        <v>23.3947298415927</v>
      </c>
      <c r="F49">
        <v>18.1889102549888</v>
      </c>
      <c r="G49">
        <v>17.5346392251667</v>
      </c>
      <c r="H49">
        <v>148.124635280439</v>
      </c>
      <c r="I49">
        <v>12.1205891574299</v>
      </c>
      <c r="J49">
        <v>13.0497314076687</v>
      </c>
      <c r="K49">
        <v>2.82954236419458</v>
      </c>
      <c r="L49">
        <v>5.0016229860161</v>
      </c>
      <c r="M49">
        <v>29.6515756493315</v>
      </c>
      <c r="N49">
        <v>409.3914769451</v>
      </c>
      <c r="O49">
        <v>116.120265587557</v>
      </c>
      <c r="P49">
        <v>35.8615361234002</v>
      </c>
      <c r="Q49">
        <v>27.3109625577075</v>
      </c>
      <c r="R49">
        <v>16.0151977606346</v>
      </c>
      <c r="S49">
        <v>13.2171184262864</v>
      </c>
      <c r="T49">
        <v>32.3023503272097</v>
      </c>
      <c r="U49">
        <v>2.69326813554172</v>
      </c>
      <c r="V49">
        <v>11.6860413957299</v>
      </c>
      <c r="W49">
        <v>2.34811961016544</v>
      </c>
      <c r="X49">
        <v>2.13054123193348</v>
      </c>
      <c r="Y49">
        <v>1311.18857965949</v>
      </c>
      <c r="Z49">
        <v>56.1623779858156</v>
      </c>
      <c r="AA49">
        <f t="shared" si="1"/>
        <v>724.0088055300225</v>
      </c>
      <c r="AB49">
        <f t="shared" si="2"/>
        <v>1627.0363588014714</v>
      </c>
      <c r="AC49">
        <f t="shared" si="3"/>
        <v>-0.7681924337070057</v>
      </c>
      <c r="AD49" s="3">
        <f t="shared" si="0"/>
        <v>1175.522582165747</v>
      </c>
      <c r="AE49" s="3">
        <f>AD49/SUM($AD$48:$AD$52)*100</f>
        <v>51.13731828648991</v>
      </c>
      <c r="AL49" s="3">
        <f>(AD49*1000)/(Q_monthly_by_region!AA48/10000)</f>
        <v>35.120898409852984</v>
      </c>
      <c r="AM49" s="3"/>
      <c r="AY49" s="7"/>
    </row>
    <row r="50" spans="1:51" ht="12.75">
      <c r="A50" t="s">
        <v>789</v>
      </c>
      <c r="B50" t="s">
        <v>254</v>
      </c>
      <c r="C50">
        <v>26.8330498097969</v>
      </c>
      <c r="D50">
        <v>8.57831200476629</v>
      </c>
      <c r="E50">
        <v>14.6173815364527</v>
      </c>
      <c r="F50">
        <v>22.4208091428354</v>
      </c>
      <c r="G50">
        <v>12.2806421900723</v>
      </c>
      <c r="H50">
        <v>14.0540154810131</v>
      </c>
      <c r="I50">
        <v>10.6586258878964</v>
      </c>
      <c r="J50">
        <v>4.26944275387505</v>
      </c>
      <c r="K50">
        <v>4.01737976070019</v>
      </c>
      <c r="L50">
        <v>3.65202179838193</v>
      </c>
      <c r="M50">
        <v>8.26274362797524</v>
      </c>
      <c r="N50">
        <v>39.1733950914446</v>
      </c>
      <c r="O50">
        <v>37.7353915919572</v>
      </c>
      <c r="P50">
        <v>13.3320583126451</v>
      </c>
      <c r="Q50">
        <v>10.3272223536936</v>
      </c>
      <c r="R50">
        <v>6.05055654397259</v>
      </c>
      <c r="S50">
        <v>7.01685204868567</v>
      </c>
      <c r="T50">
        <v>9.42605403745204</v>
      </c>
      <c r="U50">
        <v>3.18757660060834</v>
      </c>
      <c r="V50">
        <v>4.36040883956907</v>
      </c>
      <c r="W50">
        <v>2.04914049056079</v>
      </c>
      <c r="X50">
        <v>1.43440130696193</v>
      </c>
      <c r="Y50">
        <v>28.727065836083298</v>
      </c>
      <c r="Z50">
        <v>13.8843741726634</v>
      </c>
      <c r="AA50">
        <f t="shared" si="1"/>
        <v>168.8178190852101</v>
      </c>
      <c r="AB50">
        <f t="shared" si="2"/>
        <v>137.53110213485303</v>
      </c>
      <c r="AC50">
        <f t="shared" si="3"/>
        <v>0.20425544066389917</v>
      </c>
      <c r="AD50" s="3">
        <f t="shared" si="0"/>
        <v>153.17446061003156</v>
      </c>
      <c r="AE50" s="3">
        <f>AD50/SUM($AD$48:$AD$52)*100</f>
        <v>6.663360844285476</v>
      </c>
      <c r="AL50" s="3">
        <f>(AD50*1000)/(Q_monthly_by_region!AA49/10000)</f>
        <v>2.6510959209216347</v>
      </c>
      <c r="AM50" s="3"/>
      <c r="AY50" s="7"/>
    </row>
    <row r="51" spans="1:51" ht="12.75">
      <c r="A51" t="s">
        <v>789</v>
      </c>
      <c r="B51" t="s">
        <v>255</v>
      </c>
      <c r="C51">
        <v>35.8628319806223</v>
      </c>
      <c r="D51">
        <v>7.18712660308103</v>
      </c>
      <c r="E51">
        <v>15.0051188064127</v>
      </c>
      <c r="F51">
        <v>27.4220896838231</v>
      </c>
      <c r="G51">
        <v>12.2686128627337</v>
      </c>
      <c r="H51">
        <v>5.60242759734419</v>
      </c>
      <c r="I51">
        <v>9.05860678486701</v>
      </c>
      <c r="J51">
        <v>3.03208047266206</v>
      </c>
      <c r="K51">
        <v>3.52241466353091</v>
      </c>
      <c r="L51">
        <v>4.40491703355868</v>
      </c>
      <c r="M51">
        <v>8.31448071121019</v>
      </c>
      <c r="N51">
        <v>55.5080818569195</v>
      </c>
      <c r="O51">
        <v>43.8929831772985</v>
      </c>
      <c r="P51">
        <v>12.6058418710132</v>
      </c>
      <c r="Q51">
        <v>11.5799504885241</v>
      </c>
      <c r="R51">
        <v>5.45422506681011</v>
      </c>
      <c r="S51">
        <v>5.22587687507238</v>
      </c>
      <c r="T51">
        <v>25.7694404790238</v>
      </c>
      <c r="U51">
        <v>3.70643459176146</v>
      </c>
      <c r="V51">
        <v>10.7288618803773</v>
      </c>
      <c r="W51">
        <v>1.32805242312824</v>
      </c>
      <c r="X51">
        <v>0.979184091940244</v>
      </c>
      <c r="Y51">
        <v>16.1755192588287</v>
      </c>
      <c r="Z51">
        <v>16.6995783571019</v>
      </c>
      <c r="AA51">
        <f t="shared" si="1"/>
        <v>187.18878905676536</v>
      </c>
      <c r="AB51">
        <f t="shared" si="2"/>
        <v>154.14594856087993</v>
      </c>
      <c r="AC51">
        <f t="shared" si="3"/>
        <v>0.19360959699858737</v>
      </c>
      <c r="AD51" s="3">
        <f t="shared" si="0"/>
        <v>170.66736880882263</v>
      </c>
      <c r="AE51" s="3">
        <f>AD51/SUM($AD$48:$AD$52)*100</f>
        <v>7.424333392060658</v>
      </c>
      <c r="AL51" s="3">
        <f>(AD51*1000)/(Q_monthly_by_region!AA50/10000)</f>
        <v>2.7636055164593967</v>
      </c>
      <c r="AM51" s="3"/>
      <c r="AY51" s="7"/>
    </row>
    <row r="52" spans="1:51" ht="12.75">
      <c r="A52" t="s">
        <v>789</v>
      </c>
      <c r="B52" t="s">
        <v>256</v>
      </c>
      <c r="C52">
        <v>43.2612841203633</v>
      </c>
      <c r="D52">
        <v>8.7549661811821</v>
      </c>
      <c r="E52">
        <v>12.8162902733006</v>
      </c>
      <c r="F52">
        <v>29.7427531544821</v>
      </c>
      <c r="G52">
        <v>28.1975413700772</v>
      </c>
      <c r="H52">
        <v>20.7650983606109</v>
      </c>
      <c r="I52">
        <v>17.1495825922856</v>
      </c>
      <c r="J52">
        <v>10.3948318550706</v>
      </c>
      <c r="K52">
        <v>8.23163271062592</v>
      </c>
      <c r="L52">
        <v>10.3366656821005</v>
      </c>
      <c r="M52">
        <v>26.2990815357275</v>
      </c>
      <c r="N52">
        <v>99.4988429150094</v>
      </c>
      <c r="O52">
        <v>78.6207059535553</v>
      </c>
      <c r="P52">
        <v>25.6535645281906</v>
      </c>
      <c r="Q52">
        <v>46.1478558676787</v>
      </c>
      <c r="R52">
        <v>25.314343064594</v>
      </c>
      <c r="S52">
        <v>94.4600889571442</v>
      </c>
      <c r="T52">
        <v>42.1577082663935</v>
      </c>
      <c r="U52">
        <v>36.3323745124262</v>
      </c>
      <c r="V52">
        <v>17.4802464152736</v>
      </c>
      <c r="W52">
        <v>5.63849671773966</v>
      </c>
      <c r="X52">
        <v>7.30784108449646</v>
      </c>
      <c r="Y52">
        <v>394.63299592557</v>
      </c>
      <c r="Z52">
        <v>20.7806389404683</v>
      </c>
      <c r="AA52">
        <f t="shared" si="1"/>
        <v>315.44857075083576</v>
      </c>
      <c r="AB52">
        <f t="shared" si="2"/>
        <v>794.5268602335306</v>
      </c>
      <c r="AC52">
        <f t="shared" si="3"/>
        <v>-0.8632232319914158</v>
      </c>
      <c r="AD52" s="3">
        <f t="shared" si="0"/>
        <v>554.9877154921833</v>
      </c>
      <c r="AE52" s="3">
        <f>AD52/SUM($AD$48:$AD$52)*100</f>
        <v>24.142950448410918</v>
      </c>
      <c r="AL52" s="3">
        <f>(AD52*1000)/(Q_monthly_by_region!AA51/10000)</f>
        <v>5.6347340969630855</v>
      </c>
      <c r="AM52" s="3"/>
      <c r="AY52" s="7"/>
    </row>
    <row r="53" spans="1:51" ht="12.75">
      <c r="A53" t="s">
        <v>790</v>
      </c>
      <c r="B53" t="s">
        <v>253</v>
      </c>
      <c r="C53">
        <v>13.8733633303746</v>
      </c>
      <c r="D53">
        <v>2.35485225465084</v>
      </c>
      <c r="E53">
        <v>2.1134732931599</v>
      </c>
      <c r="F53">
        <v>6.38893514206856</v>
      </c>
      <c r="G53">
        <v>6.4266583168921</v>
      </c>
      <c r="H53">
        <v>1.74742557441527</v>
      </c>
      <c r="I53">
        <v>0.995505007330588</v>
      </c>
      <c r="J53">
        <v>0.717463895905801</v>
      </c>
      <c r="K53">
        <v>5.12265328800195</v>
      </c>
      <c r="L53">
        <v>5.30103250316046</v>
      </c>
      <c r="M53">
        <v>10.6441649530745</v>
      </c>
      <c r="N53">
        <v>10.0957639905578</v>
      </c>
      <c r="O53">
        <v>20.2534021833308</v>
      </c>
      <c r="P53">
        <v>12.3487829640153</v>
      </c>
      <c r="Q53">
        <v>10.8221786053929</v>
      </c>
      <c r="R53">
        <v>5.69076867754399</v>
      </c>
      <c r="S53">
        <v>0.482435674202817</v>
      </c>
      <c r="T53">
        <v>1.74408927960463</v>
      </c>
      <c r="U53">
        <v>1.33602232436994</v>
      </c>
      <c r="V53">
        <v>0.305817552283615</v>
      </c>
      <c r="W53">
        <v>0.320589917683486</v>
      </c>
      <c r="X53">
        <v>0.357275607558653</v>
      </c>
      <c r="Y53">
        <v>4.30451510652251</v>
      </c>
      <c r="Z53">
        <v>9.41576555477969</v>
      </c>
      <c r="AA53">
        <f t="shared" si="1"/>
        <v>65.78129154959237</v>
      </c>
      <c r="AB53">
        <f t="shared" si="2"/>
        <v>67.38164344728833</v>
      </c>
      <c r="AC53">
        <f t="shared" si="3"/>
        <v>-0.02403599616865528</v>
      </c>
      <c r="AD53" s="3">
        <f t="shared" si="0"/>
        <v>66.58146749844035</v>
      </c>
      <c r="AE53" s="3">
        <f>AD53/SUM($AD$53:$AD$57)*100</f>
        <v>7.1946650532201115</v>
      </c>
      <c r="AL53" s="3">
        <f>(AD53*1000)/(Q_monthly_by_region!AA52/10000)</f>
        <v>2.6262703089069688</v>
      </c>
      <c r="AM53" s="3"/>
      <c r="AY53" s="7"/>
    </row>
    <row r="54" spans="1:51" ht="12.75">
      <c r="A54" t="s">
        <v>790</v>
      </c>
      <c r="B54" t="s">
        <v>149</v>
      </c>
      <c r="C54">
        <v>20.8553886227887</v>
      </c>
      <c r="D54">
        <v>4.19197814815739</v>
      </c>
      <c r="E54">
        <v>12.6894749161053</v>
      </c>
      <c r="F54">
        <v>11.4808076136166</v>
      </c>
      <c r="G54">
        <v>9.04174016525114</v>
      </c>
      <c r="H54">
        <v>17.0838223325696</v>
      </c>
      <c r="I54">
        <v>2.90994447737891</v>
      </c>
      <c r="J54">
        <v>2.74248825375011</v>
      </c>
      <c r="K54">
        <v>1.52975896375527</v>
      </c>
      <c r="L54">
        <v>3.75773426468178</v>
      </c>
      <c r="M54">
        <v>16.2468757389435</v>
      </c>
      <c r="N54">
        <v>86.3541678717222</v>
      </c>
      <c r="O54">
        <v>72.4425396518225</v>
      </c>
      <c r="P54">
        <v>19.9008434080791</v>
      </c>
      <c r="Q54">
        <v>16.5135128463914</v>
      </c>
      <c r="R54">
        <v>5.09955820811695</v>
      </c>
      <c r="S54">
        <v>5.08465881275764</v>
      </c>
      <c r="T54">
        <v>8.23160555757072</v>
      </c>
      <c r="U54">
        <v>2.31514061654404</v>
      </c>
      <c r="V54">
        <v>2.6150569102661</v>
      </c>
      <c r="W54">
        <v>1.14585020579611</v>
      </c>
      <c r="X54">
        <v>0.858636218594505</v>
      </c>
      <c r="Y54">
        <v>145.441428272045</v>
      </c>
      <c r="Z54">
        <v>31.8464613705723</v>
      </c>
      <c r="AA54">
        <f t="shared" si="1"/>
        <v>188.8841813687205</v>
      </c>
      <c r="AB54">
        <f t="shared" si="2"/>
        <v>311.49529207855636</v>
      </c>
      <c r="AC54">
        <f t="shared" si="3"/>
        <v>-0.49007250383445206</v>
      </c>
      <c r="AD54" s="3">
        <f t="shared" si="0"/>
        <v>250.18973672363845</v>
      </c>
      <c r="AE54" s="3">
        <f>AD54/SUM($AD$53:$AD$57)*100</f>
        <v>27.03502075141356</v>
      </c>
      <c r="AL54" s="3">
        <f>(AD54*1000)/(Q_monthly_by_region!AA53/10000)</f>
        <v>7.474878373216851</v>
      </c>
      <c r="AM54" s="3"/>
      <c r="AY54" s="7"/>
    </row>
    <row r="55" spans="1:51" ht="12.75">
      <c r="A55" t="s">
        <v>790</v>
      </c>
      <c r="B55" t="s">
        <v>254</v>
      </c>
      <c r="C55">
        <v>26.0710241161958</v>
      </c>
      <c r="D55">
        <v>7.88143696807692</v>
      </c>
      <c r="E55">
        <v>15.3760870094253</v>
      </c>
      <c r="F55">
        <v>16.3185135512851</v>
      </c>
      <c r="G55">
        <v>8.92247523266891</v>
      </c>
      <c r="H55">
        <v>8.20647512149756</v>
      </c>
      <c r="I55">
        <v>4.85609815403889</v>
      </c>
      <c r="J55">
        <v>1.90464310275371</v>
      </c>
      <c r="K55">
        <v>1.94427609466716</v>
      </c>
      <c r="L55">
        <v>2.871778461889</v>
      </c>
      <c r="M55">
        <v>10.1755252703212</v>
      </c>
      <c r="N55">
        <v>38.1073504339777</v>
      </c>
      <c r="O55">
        <v>31.6120691262444</v>
      </c>
      <c r="P55">
        <v>13.1439892744512</v>
      </c>
      <c r="Q55">
        <v>6.2645165053479</v>
      </c>
      <c r="R55">
        <v>4.57370400132934</v>
      </c>
      <c r="S55">
        <v>3.46239624376475</v>
      </c>
      <c r="T55">
        <v>2.45085227222958</v>
      </c>
      <c r="U55">
        <v>1.74355973123729</v>
      </c>
      <c r="V55">
        <v>1.50568843577305</v>
      </c>
      <c r="W55">
        <v>1.13792430961766</v>
      </c>
      <c r="X55">
        <v>1.30595336498995</v>
      </c>
      <c r="Y55">
        <v>26.3709491275324</v>
      </c>
      <c r="Z55">
        <v>40.121219617879</v>
      </c>
      <c r="AA55">
        <f t="shared" si="1"/>
        <v>142.63568351679726</v>
      </c>
      <c r="AB55">
        <f t="shared" si="2"/>
        <v>133.69282201039653</v>
      </c>
      <c r="AC55">
        <f t="shared" si="3"/>
        <v>0.06472630457968193</v>
      </c>
      <c r="AD55" s="3">
        <f t="shared" si="0"/>
        <v>138.16425276359686</v>
      </c>
      <c r="AE55" s="3">
        <f>AD55/SUM($AD$53:$AD$57)*100</f>
        <v>14.92976286510666</v>
      </c>
      <c r="AL55" s="3">
        <f>(AD55*1000)/(Q_monthly_by_region!AA54/10000)</f>
        <v>2.391303912283983</v>
      </c>
      <c r="AM55" s="3"/>
      <c r="AY55" s="7"/>
    </row>
    <row r="56" spans="1:51" ht="12.75">
      <c r="A56" t="s">
        <v>790</v>
      </c>
      <c r="B56" t="s">
        <v>255</v>
      </c>
      <c r="C56">
        <v>56.5182578954093</v>
      </c>
      <c r="D56">
        <v>13.3051389943034</v>
      </c>
      <c r="E56">
        <v>25.4710777183145</v>
      </c>
      <c r="F56">
        <v>30.3097964915408</v>
      </c>
      <c r="G56">
        <v>16.8895250905612</v>
      </c>
      <c r="H56">
        <v>15.797401645669</v>
      </c>
      <c r="I56">
        <v>8.39714530931329</v>
      </c>
      <c r="J56">
        <v>3.57486971515199</v>
      </c>
      <c r="K56">
        <v>3.12626699238581</v>
      </c>
      <c r="L56">
        <v>4.54535734263511</v>
      </c>
      <c r="M56">
        <v>19.0612620581799</v>
      </c>
      <c r="N56">
        <v>58.2816923450524</v>
      </c>
      <c r="O56">
        <v>42.6125327191513</v>
      </c>
      <c r="P56">
        <v>19.7972455943617</v>
      </c>
      <c r="Q56">
        <v>9.41629796460898</v>
      </c>
      <c r="R56">
        <v>8.32517005622465</v>
      </c>
      <c r="S56">
        <v>4.95004652109968</v>
      </c>
      <c r="T56">
        <v>5.5100995053015</v>
      </c>
      <c r="U56">
        <v>2.81421330541833</v>
      </c>
      <c r="V56">
        <v>3.11969702272649</v>
      </c>
      <c r="W56">
        <v>1.74287513734645</v>
      </c>
      <c r="X56">
        <v>1.82528691349854</v>
      </c>
      <c r="Y56">
        <v>25.7664080052051</v>
      </c>
      <c r="Z56">
        <v>55.1832588597827</v>
      </c>
      <c r="AA56">
        <f t="shared" si="1"/>
        <v>255.27779159851664</v>
      </c>
      <c r="AB56">
        <f t="shared" si="2"/>
        <v>181.0631316047254</v>
      </c>
      <c r="AC56">
        <f t="shared" si="3"/>
        <v>0.34016823106561095</v>
      </c>
      <c r="AD56" s="3">
        <f t="shared" si="0"/>
        <v>218.17046160162104</v>
      </c>
      <c r="AE56" s="3">
        <f>AD56/SUM($AD$53:$AD$57)*100</f>
        <v>23.575079593534827</v>
      </c>
      <c r="AL56" s="3">
        <f>(AD56*1000)/(Q_monthly_by_region!AA55/10000)</f>
        <v>3.5328199843880417</v>
      </c>
      <c r="AM56" s="3"/>
      <c r="AY56" s="7"/>
    </row>
    <row r="57" spans="1:51" ht="12.75">
      <c r="A57" t="s">
        <v>790</v>
      </c>
      <c r="B57" t="s">
        <v>256</v>
      </c>
      <c r="C57">
        <v>22.4204658874056</v>
      </c>
      <c r="D57">
        <v>5.93209657494848</v>
      </c>
      <c r="E57">
        <v>19.038701115202</v>
      </c>
      <c r="F57">
        <v>26.4034917963403</v>
      </c>
      <c r="G57">
        <v>17.7866070527646</v>
      </c>
      <c r="H57">
        <v>9.02830987672236</v>
      </c>
      <c r="I57">
        <v>5.88949266415501</v>
      </c>
      <c r="J57">
        <v>3.02322834192042</v>
      </c>
      <c r="K57">
        <v>3.39890373152251</v>
      </c>
      <c r="L57">
        <v>5.26518854239528</v>
      </c>
      <c r="M57">
        <v>16.8976509956465</v>
      </c>
      <c r="N57">
        <v>73.8088915386728</v>
      </c>
      <c r="O57">
        <v>54.7513130359502</v>
      </c>
      <c r="P57">
        <v>24.1118537663862</v>
      </c>
      <c r="Q57">
        <v>22.654719668125</v>
      </c>
      <c r="R57">
        <v>16.9979735898726</v>
      </c>
      <c r="S57">
        <v>36.3806026299652</v>
      </c>
      <c r="T57">
        <v>9.97092938974359</v>
      </c>
      <c r="U57">
        <v>8.85332113184667</v>
      </c>
      <c r="V57">
        <v>3.5939192664849</v>
      </c>
      <c r="W57">
        <v>2.49105351570627</v>
      </c>
      <c r="X57">
        <v>2.63869985770316</v>
      </c>
      <c r="Y57">
        <v>89.9913351680477</v>
      </c>
      <c r="Z57">
        <v>23.3160416455776</v>
      </c>
      <c r="AA57">
        <f t="shared" si="1"/>
        <v>208.89302811769585</v>
      </c>
      <c r="AB57">
        <f t="shared" si="2"/>
        <v>295.75176266540905</v>
      </c>
      <c r="AC57">
        <f t="shared" si="3"/>
        <v>-0.3442371193921424</v>
      </c>
      <c r="AD57" s="3">
        <f t="shared" si="0"/>
        <v>252.32239539155245</v>
      </c>
      <c r="AE57" s="3">
        <f>AD57/SUM($AD$53:$AD$57)*100</f>
        <v>27.265471736724855</v>
      </c>
      <c r="AL57" s="3">
        <f>(AD57*1000)/(Q_monthly_by_region!AA56/10000)</f>
        <v>2.5618037391680013</v>
      </c>
      <c r="AM57" s="3"/>
      <c r="AY57" s="7"/>
    </row>
    <row r="58" spans="1:51" ht="12.75">
      <c r="A58" t="s">
        <v>791</v>
      </c>
      <c r="B58" t="s">
        <v>253</v>
      </c>
      <c r="C58">
        <v>196.842313885731</v>
      </c>
      <c r="D58">
        <v>31.1180627027171</v>
      </c>
      <c r="E58">
        <v>20.712847521113</v>
      </c>
      <c r="F58">
        <v>53.5422497459624</v>
      </c>
      <c r="G58">
        <v>57.911180833291</v>
      </c>
      <c r="H58">
        <v>27.3859539450618</v>
      </c>
      <c r="I58">
        <v>21.2516530261508</v>
      </c>
      <c r="J58">
        <v>11.8684493950528</v>
      </c>
      <c r="K58">
        <v>60.471766275129</v>
      </c>
      <c r="L58">
        <v>61.9890214187089</v>
      </c>
      <c r="M58">
        <v>75.2073330949377</v>
      </c>
      <c r="N58">
        <v>158.812147677758</v>
      </c>
      <c r="O58">
        <v>182.509791307053</v>
      </c>
      <c r="P58">
        <v>115.964720764982</v>
      </c>
      <c r="Q58">
        <v>108.473950438488</v>
      </c>
      <c r="R58">
        <v>55.1875155538588</v>
      </c>
      <c r="S58">
        <v>6.30831655991043</v>
      </c>
      <c r="T58">
        <v>71.3607536195042</v>
      </c>
      <c r="U58">
        <v>20.2100190500699</v>
      </c>
      <c r="V58">
        <v>6.71030080190209</v>
      </c>
      <c r="W58">
        <v>5.03327462381089</v>
      </c>
      <c r="X58">
        <v>3.51320595485894</v>
      </c>
      <c r="Y58">
        <v>60.5983061312209</v>
      </c>
      <c r="Z58">
        <v>103.994453698945</v>
      </c>
      <c r="AA58">
        <f t="shared" si="1"/>
        <v>777.1129795216134</v>
      </c>
      <c r="AB58">
        <f t="shared" si="2"/>
        <v>739.8646085046042</v>
      </c>
      <c r="AC58">
        <f t="shared" si="3"/>
        <v>0.04910866358345357</v>
      </c>
      <c r="AD58" s="3">
        <f t="shared" si="0"/>
        <v>758.4887940131086</v>
      </c>
      <c r="AE58" s="3">
        <f>AD58/SUM($AD$58:$AD$62)*100</f>
        <v>10.86664110366976</v>
      </c>
      <c r="AL58" s="3">
        <f>(AD58*1000)/(Q_monthly_by_region!AA57/10000)</f>
        <v>29.91818405627576</v>
      </c>
      <c r="AM58" s="3"/>
      <c r="AY58" s="7"/>
    </row>
    <row r="59" spans="1:51" ht="12.75">
      <c r="A59" t="s">
        <v>791</v>
      </c>
      <c r="B59" t="s">
        <v>149</v>
      </c>
      <c r="C59">
        <v>105.543792012929</v>
      </c>
      <c r="D59">
        <v>23.5341381460882</v>
      </c>
      <c r="E59">
        <v>64.0555991715792</v>
      </c>
      <c r="F59">
        <v>71.8290396787022</v>
      </c>
      <c r="G59">
        <v>51.6243090987676</v>
      </c>
      <c r="H59">
        <v>162.765293202295</v>
      </c>
      <c r="I59">
        <v>21.2099054312483</v>
      </c>
      <c r="J59">
        <v>19.4475842314483</v>
      </c>
      <c r="K59">
        <v>8.33067714425472</v>
      </c>
      <c r="L59">
        <v>24.5878436015815</v>
      </c>
      <c r="M59">
        <v>74.4379470243962</v>
      </c>
      <c r="N59">
        <v>541.511643479966</v>
      </c>
      <c r="O59">
        <v>333.444082034341</v>
      </c>
      <c r="P59">
        <v>99.9220462473399</v>
      </c>
      <c r="Q59">
        <v>78.5523780862062</v>
      </c>
      <c r="R59">
        <v>43.6816342820017</v>
      </c>
      <c r="S59">
        <v>41.3676460405919</v>
      </c>
      <c r="T59">
        <v>48.7936624062973</v>
      </c>
      <c r="U59">
        <v>11.0886013271447</v>
      </c>
      <c r="V59">
        <v>20.8930665436641</v>
      </c>
      <c r="W59">
        <v>7.88759508311149</v>
      </c>
      <c r="X59">
        <v>6.27112908740154</v>
      </c>
      <c r="Y59">
        <v>1630.87701093753</v>
      </c>
      <c r="Z59">
        <v>129.99529808762</v>
      </c>
      <c r="AA59">
        <f t="shared" si="1"/>
        <v>1168.8777722232562</v>
      </c>
      <c r="AB59">
        <f t="shared" si="2"/>
        <v>2452.77415016325</v>
      </c>
      <c r="AC59">
        <f t="shared" si="3"/>
        <v>-0.7090114707069715</v>
      </c>
      <c r="AD59" s="3">
        <f t="shared" si="0"/>
        <v>1810.8259611932533</v>
      </c>
      <c r="AE59" s="3">
        <f>AD59/SUM($AD$58:$AD$62)*100</f>
        <v>25.94315957837978</v>
      </c>
      <c r="AL59" s="3">
        <f>(AD59*1000)/(Q_monthly_by_region!AA58/10000)</f>
        <v>54.10175490106019</v>
      </c>
      <c r="AM59" s="3"/>
      <c r="AY59" s="7"/>
    </row>
    <row r="60" spans="1:51" ht="12.75">
      <c r="A60" t="s">
        <v>791</v>
      </c>
      <c r="B60" t="s">
        <v>254</v>
      </c>
      <c r="C60">
        <v>178.305639686035</v>
      </c>
      <c r="D60">
        <v>44.6932594936762</v>
      </c>
      <c r="E60">
        <v>102.063661650572</v>
      </c>
      <c r="F60">
        <v>140.861183254599</v>
      </c>
      <c r="G60">
        <v>75.0666640630306</v>
      </c>
      <c r="H60">
        <v>58.1948051893499</v>
      </c>
      <c r="I60">
        <v>33.2111407400558</v>
      </c>
      <c r="J60">
        <v>13.7628403427457</v>
      </c>
      <c r="K60">
        <v>13.4178363991985</v>
      </c>
      <c r="L60">
        <v>22.5376785932471</v>
      </c>
      <c r="M60">
        <v>56.1845896683204</v>
      </c>
      <c r="N60">
        <v>290.625947253545</v>
      </c>
      <c r="O60">
        <v>241.8374421822</v>
      </c>
      <c r="P60">
        <v>82.2398605352684</v>
      </c>
      <c r="Q60">
        <v>53.3472430742806</v>
      </c>
      <c r="R60">
        <v>36.9131665645218</v>
      </c>
      <c r="S60">
        <v>25.7912535600694</v>
      </c>
      <c r="T60">
        <v>25.3899779833536</v>
      </c>
      <c r="U60">
        <v>12.5371840686928</v>
      </c>
      <c r="V60">
        <v>10.9591594191738</v>
      </c>
      <c r="W60">
        <v>9.26218219381335</v>
      </c>
      <c r="X60">
        <v>9.75464729746501</v>
      </c>
      <c r="Y60">
        <v>251.207575864014</v>
      </c>
      <c r="Z60">
        <v>407.560062337459</v>
      </c>
      <c r="AA60">
        <f t="shared" si="1"/>
        <v>1028.9252463343753</v>
      </c>
      <c r="AB60">
        <f t="shared" si="2"/>
        <v>1166.7997550803118</v>
      </c>
      <c r="AC60">
        <f t="shared" si="3"/>
        <v>-0.12558449592467646</v>
      </c>
      <c r="AD60" s="3">
        <f t="shared" si="0"/>
        <v>1097.8625007073435</v>
      </c>
      <c r="AE60" s="3">
        <f>AD60/SUM($AD$58:$AD$62)*100</f>
        <v>15.72874625245671</v>
      </c>
      <c r="AL60" s="3">
        <f>(AD60*1000)/(Q_monthly_by_region!AA59/10000)</f>
        <v>19.001462683573827</v>
      </c>
      <c r="AM60" s="3"/>
      <c r="AY60" s="7"/>
    </row>
    <row r="61" spans="1:51" ht="12.75">
      <c r="A61" t="s">
        <v>791</v>
      </c>
      <c r="B61" t="s">
        <v>255</v>
      </c>
      <c r="C61">
        <v>316.87768243992</v>
      </c>
      <c r="D61">
        <v>58.138045206989</v>
      </c>
      <c r="E61">
        <v>107.367507701602</v>
      </c>
      <c r="F61">
        <v>186.724421271225</v>
      </c>
      <c r="G61">
        <v>82.1646701547648</v>
      </c>
      <c r="H61">
        <v>51.2962585990173</v>
      </c>
      <c r="I61">
        <v>35.2609089781759</v>
      </c>
      <c r="J61">
        <v>12.5252638285501</v>
      </c>
      <c r="K61">
        <v>10.7015098795251</v>
      </c>
      <c r="L61">
        <v>20.5672744653569</v>
      </c>
      <c r="M61">
        <v>88.5637298627947</v>
      </c>
      <c r="N61">
        <v>387.697824125625</v>
      </c>
      <c r="O61">
        <v>272.440335178583</v>
      </c>
      <c r="P61">
        <v>73.5694031318858</v>
      </c>
      <c r="Q61">
        <v>46.4592814052549</v>
      </c>
      <c r="R61">
        <v>45.2171304234607</v>
      </c>
      <c r="S61">
        <v>19.4499183796174</v>
      </c>
      <c r="T61">
        <v>42.6944644387159</v>
      </c>
      <c r="U61">
        <v>12.2580238009279</v>
      </c>
      <c r="V61">
        <v>15.9177398932248</v>
      </c>
      <c r="W61">
        <v>5.9347583270399</v>
      </c>
      <c r="X61">
        <v>5.12252233192413</v>
      </c>
      <c r="Y61">
        <v>168.278895883286</v>
      </c>
      <c r="Z61">
        <v>352.17176194074</v>
      </c>
      <c r="AA61">
        <f t="shared" si="1"/>
        <v>1357.885096513546</v>
      </c>
      <c r="AB61">
        <f t="shared" si="2"/>
        <v>1059.5142351346603</v>
      </c>
      <c r="AC61">
        <f t="shared" si="3"/>
        <v>0.24685277063881164</v>
      </c>
      <c r="AD61" s="3">
        <f t="shared" si="0"/>
        <v>1208.699665824103</v>
      </c>
      <c r="AE61" s="3">
        <f>AD61/SUM($AD$58:$AD$62)*100</f>
        <v>17.316677021874504</v>
      </c>
      <c r="AL61" s="3">
        <f>(AD61*1000)/(Q_monthly_by_region!AA60/10000)</f>
        <v>19.57239446256372</v>
      </c>
      <c r="AM61" s="3"/>
      <c r="AY61" s="7"/>
    </row>
    <row r="62" spans="1:51" ht="12.75">
      <c r="A62" t="s">
        <v>791</v>
      </c>
      <c r="B62" t="s">
        <v>256</v>
      </c>
      <c r="C62">
        <v>183.171632530992</v>
      </c>
      <c r="D62">
        <v>63.117808454135</v>
      </c>
      <c r="E62">
        <v>118.758190345509</v>
      </c>
      <c r="F62">
        <v>181.866117262169</v>
      </c>
      <c r="G62">
        <v>184.855947255199</v>
      </c>
      <c r="H62">
        <v>95.2475979247196</v>
      </c>
      <c r="I62">
        <v>42.7063184099359</v>
      </c>
      <c r="J62">
        <v>26.5459117426932</v>
      </c>
      <c r="K62">
        <v>22.2313166829727</v>
      </c>
      <c r="L62">
        <v>44.1220951768284</v>
      </c>
      <c r="M62">
        <v>98.5288289886229</v>
      </c>
      <c r="N62">
        <v>485.614772094249</v>
      </c>
      <c r="O62">
        <v>455.715832290188</v>
      </c>
      <c r="P62">
        <v>136.229897868429</v>
      </c>
      <c r="Q62">
        <v>213.829449950346</v>
      </c>
      <c r="R62">
        <v>141.970544149955</v>
      </c>
      <c r="S62">
        <v>256.574676543941</v>
      </c>
      <c r="T62">
        <v>134.811594162513</v>
      </c>
      <c r="U62">
        <v>72.2821949404692</v>
      </c>
      <c r="V62">
        <v>31.7308635679213</v>
      </c>
      <c r="W62">
        <v>15.8176674358887</v>
      </c>
      <c r="X62">
        <v>18.6795152827895</v>
      </c>
      <c r="Y62">
        <v>889.458480625299</v>
      </c>
      <c r="Z62">
        <v>294.328196773803</v>
      </c>
      <c r="AA62">
        <f t="shared" si="1"/>
        <v>1546.7665368680257</v>
      </c>
      <c r="AB62">
        <f t="shared" si="2"/>
        <v>2661.428913591543</v>
      </c>
      <c r="AC62">
        <f t="shared" si="3"/>
        <v>-0.5297578925911283</v>
      </c>
      <c r="AD62" s="3">
        <f t="shared" si="0"/>
        <v>2104.097725229784</v>
      </c>
      <c r="AE62" s="3">
        <f>AD62/SUM($AD$58:$AD$62)*100</f>
        <v>30.14477604361925</v>
      </c>
      <c r="AL62" s="3">
        <f>(AD62*1000)/(Q_monthly_by_region!AA61/10000)</f>
        <v>21.3626912177333</v>
      </c>
      <c r="AM62" s="3"/>
      <c r="AY62" s="7"/>
    </row>
    <row r="63" spans="1:51" ht="12.75">
      <c r="A63" t="s">
        <v>761</v>
      </c>
      <c r="B63" t="s">
        <v>253</v>
      </c>
      <c r="C63">
        <f>C28+C23+C18</f>
        <v>3.438355036391588</v>
      </c>
      <c r="D63">
        <f aca="true" t="shared" si="5" ref="D63:Z67">D28+D23+D18</f>
        <v>0.398059302665946</v>
      </c>
      <c r="E63">
        <f t="shared" si="5"/>
        <v>0.763263862810581</v>
      </c>
      <c r="F63">
        <f t="shared" si="5"/>
        <v>2.07236991947332</v>
      </c>
      <c r="G63">
        <f t="shared" si="5"/>
        <v>1.764828100537395</v>
      </c>
      <c r="H63">
        <f t="shared" si="5"/>
        <v>0.40495176670197597</v>
      </c>
      <c r="I63">
        <f t="shared" si="5"/>
        <v>0.333975556361382</v>
      </c>
      <c r="J63">
        <f t="shared" si="5"/>
        <v>0.201458848044761</v>
      </c>
      <c r="K63">
        <f t="shared" si="5"/>
        <v>0.8709242004482</v>
      </c>
      <c r="L63">
        <f t="shared" si="5"/>
        <v>1.609130039501635</v>
      </c>
      <c r="M63">
        <f t="shared" si="5"/>
        <v>2.926927896976455</v>
      </c>
      <c r="N63">
        <f t="shared" si="5"/>
        <v>3.346962112791713</v>
      </c>
      <c r="O63">
        <f t="shared" si="5"/>
        <v>6.459959869620798</v>
      </c>
      <c r="P63">
        <f t="shared" si="5"/>
        <v>3.3941541592228166</v>
      </c>
      <c r="Q63">
        <f t="shared" si="5"/>
        <v>2.006167793011756</v>
      </c>
      <c r="R63">
        <f t="shared" si="5"/>
        <v>1.392599410146307</v>
      </c>
      <c r="S63">
        <f t="shared" si="5"/>
        <v>0.094961350384863</v>
      </c>
      <c r="T63">
        <f t="shared" si="5"/>
        <v>0.940076706685051</v>
      </c>
      <c r="U63">
        <f t="shared" si="5"/>
        <v>0.058391286770335005</v>
      </c>
      <c r="V63">
        <f t="shared" si="5"/>
        <v>0.040220085678848994</v>
      </c>
      <c r="W63">
        <f t="shared" si="5"/>
        <v>0.022848501227501</v>
      </c>
      <c r="X63">
        <f t="shared" si="5"/>
        <v>0.082401786359733</v>
      </c>
      <c r="Y63">
        <f t="shared" si="5"/>
        <v>2.7431942846158823</v>
      </c>
      <c r="Z63">
        <f t="shared" si="5"/>
        <v>4.931584763576674</v>
      </c>
      <c r="AA63">
        <f t="shared" si="1"/>
        <v>18.13120664270495</v>
      </c>
      <c r="AB63">
        <f t="shared" si="2"/>
        <v>22.166559997300567</v>
      </c>
      <c r="AC63">
        <f t="shared" si="3"/>
        <v>-0.2002767741768364</v>
      </c>
      <c r="AD63" s="3">
        <f t="shared" si="0"/>
        <v>20.148883320002756</v>
      </c>
      <c r="AE63" s="3">
        <f>AD63/SUM($AD$63:$AD$67)*100</f>
        <v>4.059366739671179</v>
      </c>
      <c r="AL63" s="3">
        <f>(AD63*1000)/(Q_monthly_by_region!AA62/10000)</f>
        <v>0.7947619061143951</v>
      </c>
      <c r="AO63" t="s">
        <v>654</v>
      </c>
      <c r="AP63">
        <v>70.50437160632276</v>
      </c>
      <c r="AY63" s="7"/>
    </row>
    <row r="64" spans="1:51" ht="12.75">
      <c r="A64" t="s">
        <v>761</v>
      </c>
      <c r="B64" t="s">
        <v>149</v>
      </c>
      <c r="C64">
        <f>C29+C24+C19</f>
        <v>15.715621128950879</v>
      </c>
      <c r="D64">
        <f aca="true" t="shared" si="6" ref="D64:R64">D29+D24+D19</f>
        <v>2.802740038985183</v>
      </c>
      <c r="E64">
        <f t="shared" si="6"/>
        <v>8.052556740181156</v>
      </c>
      <c r="F64">
        <f t="shared" si="6"/>
        <v>5.58344998544937</v>
      </c>
      <c r="G64">
        <f t="shared" si="6"/>
        <v>4.709028560487444</v>
      </c>
      <c r="H64">
        <f t="shared" si="6"/>
        <v>1.077700018477018</v>
      </c>
      <c r="I64">
        <f t="shared" si="6"/>
        <v>1.138941592200917</v>
      </c>
      <c r="J64">
        <f t="shared" si="6"/>
        <v>0.6529725361959949</v>
      </c>
      <c r="K64">
        <f t="shared" si="6"/>
        <v>0.705166455458344</v>
      </c>
      <c r="L64">
        <f t="shared" si="6"/>
        <v>2.375464641217339</v>
      </c>
      <c r="M64">
        <f t="shared" si="6"/>
        <v>12.45081506634332</v>
      </c>
      <c r="N64">
        <f t="shared" si="6"/>
        <v>41.97185485961821</v>
      </c>
      <c r="O64">
        <f t="shared" si="6"/>
        <v>43.833592586703645</v>
      </c>
      <c r="P64">
        <f t="shared" si="6"/>
        <v>12.696721556210154</v>
      </c>
      <c r="Q64">
        <f t="shared" si="6"/>
        <v>1.526106041876453</v>
      </c>
      <c r="R64">
        <f t="shared" si="6"/>
        <v>3.4034007267974107</v>
      </c>
      <c r="S64">
        <f t="shared" si="5"/>
        <v>2.617846401525258</v>
      </c>
      <c r="T64">
        <f t="shared" si="5"/>
        <v>1.154639961403708</v>
      </c>
      <c r="U64">
        <f t="shared" si="5"/>
        <v>0.85964593402402</v>
      </c>
      <c r="V64">
        <f t="shared" si="5"/>
        <v>0.81310263487465</v>
      </c>
      <c r="W64">
        <f t="shared" si="5"/>
        <v>0.44347754731708</v>
      </c>
      <c r="X64">
        <f t="shared" si="5"/>
        <v>0.570157300560743</v>
      </c>
      <c r="Y64">
        <f t="shared" si="5"/>
        <v>34.462005173123316</v>
      </c>
      <c r="Z64">
        <f t="shared" si="5"/>
        <v>23.331683976591272</v>
      </c>
      <c r="AA64">
        <f t="shared" si="1"/>
        <v>97.23631162356517</v>
      </c>
      <c r="AB64">
        <f t="shared" si="2"/>
        <v>125.71237984100767</v>
      </c>
      <c r="AC64">
        <f t="shared" si="3"/>
        <v>-0.2554495209671811</v>
      </c>
      <c r="AD64" s="3">
        <f t="shared" si="0"/>
        <v>111.47434573228645</v>
      </c>
      <c r="AE64" s="3">
        <f>AD64/SUM($AD$63:$AD$67)*100</f>
        <v>22.4585771928619</v>
      </c>
      <c r="AL64" s="3">
        <f>(AD64*1000)/(Q_monthly_by_region!AA63/10000)</f>
        <v>3.3305010309163423</v>
      </c>
      <c r="AO64" t="s">
        <v>655</v>
      </c>
      <c r="AP64">
        <v>5.414482415981582</v>
      </c>
      <c r="AY64" s="7"/>
    </row>
    <row r="65" spans="1:47" ht="12.75">
      <c r="A65" t="s">
        <v>761</v>
      </c>
      <c r="B65" t="s">
        <v>254</v>
      </c>
      <c r="C65">
        <f>C30+C25+C20</f>
        <v>19.46608312231118</v>
      </c>
      <c r="D65">
        <f t="shared" si="5"/>
        <v>5.770517349083156</v>
      </c>
      <c r="E65">
        <f t="shared" si="5"/>
        <v>10.64804679224077</v>
      </c>
      <c r="F65">
        <f t="shared" si="5"/>
        <v>9.666609422603743</v>
      </c>
      <c r="G65">
        <f t="shared" si="5"/>
        <v>4.106869222416636</v>
      </c>
      <c r="H65">
        <f t="shared" si="5"/>
        <v>2.762930570784733</v>
      </c>
      <c r="I65">
        <f t="shared" si="5"/>
        <v>2.543657650557916</v>
      </c>
      <c r="J65">
        <f t="shared" si="5"/>
        <v>1.02296918852908</v>
      </c>
      <c r="K65">
        <f t="shared" si="5"/>
        <v>0.878593490037234</v>
      </c>
      <c r="L65">
        <f t="shared" si="5"/>
        <v>1.569360520250139</v>
      </c>
      <c r="M65">
        <f t="shared" si="5"/>
        <v>7.7036059815679785</v>
      </c>
      <c r="N65">
        <f t="shared" si="5"/>
        <v>26.768860576171</v>
      </c>
      <c r="O65">
        <f t="shared" si="5"/>
        <v>22.115552414980698</v>
      </c>
      <c r="P65">
        <f t="shared" si="5"/>
        <v>9.05443219232131</v>
      </c>
      <c r="Q65">
        <f t="shared" si="5"/>
        <v>3.0800033881243674</v>
      </c>
      <c r="R65">
        <f t="shared" si="5"/>
        <v>2.890990307705586</v>
      </c>
      <c r="S65">
        <f t="shared" si="5"/>
        <v>1.898569406294145</v>
      </c>
      <c r="T65">
        <f t="shared" si="5"/>
        <v>1.3286798341963</v>
      </c>
      <c r="U65">
        <f t="shared" si="5"/>
        <v>0.974001497154422</v>
      </c>
      <c r="V65">
        <f t="shared" si="5"/>
        <v>0.8197655692174081</v>
      </c>
      <c r="W65">
        <f t="shared" si="5"/>
        <v>0.648710954607533</v>
      </c>
      <c r="X65">
        <f t="shared" si="5"/>
        <v>0.963455501066766</v>
      </c>
      <c r="Y65">
        <f t="shared" si="5"/>
        <v>17.340854333866076</v>
      </c>
      <c r="Z65">
        <f t="shared" si="5"/>
        <v>29.093820033604853</v>
      </c>
      <c r="AA65">
        <f t="shared" si="1"/>
        <v>92.90810388655356</v>
      </c>
      <c r="AB65">
        <f t="shared" si="2"/>
        <v>90.20883543313947</v>
      </c>
      <c r="AC65">
        <f t="shared" si="3"/>
        <v>0.029481362712180322</v>
      </c>
      <c r="AD65" s="3">
        <f t="shared" si="0"/>
        <v>91.55846965984651</v>
      </c>
      <c r="AE65" s="3">
        <f>AD65/SUM($AD$63:$AD$67)*100</f>
        <v>18.446154090504844</v>
      </c>
      <c r="AL65" s="3">
        <f>(AD65*1000)/(Q_monthly_by_region!AA64/10000)</f>
        <v>1.58466551456653</v>
      </c>
      <c r="AP65" s="7">
        <f>AP64+AP63+AP28</f>
        <v>572.2741875548168</v>
      </c>
      <c r="AQ65" s="7"/>
      <c r="AR65" s="7"/>
      <c r="AS65" s="7"/>
      <c r="AT65" s="7"/>
      <c r="AU65" s="7"/>
    </row>
    <row r="66" spans="1:42" ht="12.75">
      <c r="A66" t="s">
        <v>761</v>
      </c>
      <c r="B66" t="s">
        <v>255</v>
      </c>
      <c r="C66">
        <f>C31+C26+C21</f>
        <v>41.76176328063786</v>
      </c>
      <c r="D66">
        <f t="shared" si="5"/>
        <v>10.504464280672545</v>
      </c>
      <c r="E66">
        <f t="shared" si="5"/>
        <v>18.514457030151263</v>
      </c>
      <c r="F66">
        <f t="shared" si="5"/>
        <v>19.67874685445796</v>
      </c>
      <c r="G66">
        <f t="shared" si="5"/>
        <v>10.145471939650061</v>
      </c>
      <c r="H66">
        <f t="shared" si="5"/>
        <v>8.136163841934465</v>
      </c>
      <c r="I66">
        <f t="shared" si="5"/>
        <v>6.557955325100798</v>
      </c>
      <c r="J66">
        <f t="shared" si="5"/>
        <v>2.53883643710385</v>
      </c>
      <c r="K66">
        <f t="shared" si="5"/>
        <v>2.142816744177297</v>
      </c>
      <c r="L66">
        <f t="shared" si="5"/>
        <v>3.2033639932247953</v>
      </c>
      <c r="M66">
        <f t="shared" si="5"/>
        <v>15.181891970327225</v>
      </c>
      <c r="N66">
        <f t="shared" si="5"/>
        <v>29.288027864311424</v>
      </c>
      <c r="O66">
        <f t="shared" si="5"/>
        <v>31.703912605091936</v>
      </c>
      <c r="P66">
        <f t="shared" si="5"/>
        <v>15.89235753682858</v>
      </c>
      <c r="Q66">
        <f t="shared" si="5"/>
        <v>7.102229722744844</v>
      </c>
      <c r="R66">
        <f t="shared" si="5"/>
        <v>6.184160184276668</v>
      </c>
      <c r="S66">
        <f t="shared" si="5"/>
        <v>3.548769769078948</v>
      </c>
      <c r="T66">
        <f t="shared" si="5"/>
        <v>3.2182217667442528</v>
      </c>
      <c r="U66">
        <f t="shared" si="5"/>
        <v>2.2597573865557994</v>
      </c>
      <c r="V66">
        <f t="shared" si="5"/>
        <v>0.8277201212440151</v>
      </c>
      <c r="W66">
        <f t="shared" si="5"/>
        <v>1.304917440305472</v>
      </c>
      <c r="X66">
        <f t="shared" si="5"/>
        <v>1.574651592983487</v>
      </c>
      <c r="Y66">
        <f t="shared" si="5"/>
        <v>19.025692226081283</v>
      </c>
      <c r="Z66">
        <f t="shared" si="5"/>
        <v>38.92451985342355</v>
      </c>
      <c r="AA66">
        <f t="shared" si="1"/>
        <v>167.65395956174953</v>
      </c>
      <c r="AB66">
        <f t="shared" si="2"/>
        <v>131.56691020535885</v>
      </c>
      <c r="AC66">
        <f t="shared" si="3"/>
        <v>0.24120676732527513</v>
      </c>
      <c r="AD66" s="3">
        <f t="shared" si="0"/>
        <v>149.61043488355418</v>
      </c>
      <c r="AE66" s="3">
        <f>AD66/SUM($AD$63:$AD$67)*100</f>
        <v>30.141800596518486</v>
      </c>
      <c r="AL66" s="3">
        <f>(AD66*1000)/(Q_monthly_by_region!AA65/10000)</f>
        <v>2.42263196561747</v>
      </c>
      <c r="AP66">
        <f>SUM(AP63:AP64)/AP65</f>
        <v>0.1326616780440272</v>
      </c>
    </row>
    <row r="67" spans="1:38" ht="12.75">
      <c r="A67" t="s">
        <v>761</v>
      </c>
      <c r="B67" t="s">
        <v>256</v>
      </c>
      <c r="C67">
        <f>C32+C27+C22</f>
        <v>13.935925115034953</v>
      </c>
      <c r="D67">
        <f t="shared" si="5"/>
        <v>3.981113219336873</v>
      </c>
      <c r="E67">
        <f t="shared" si="5"/>
        <v>10.451047135755456</v>
      </c>
      <c r="F67">
        <f t="shared" si="5"/>
        <v>10.44697924592954</v>
      </c>
      <c r="G67">
        <f t="shared" si="5"/>
        <v>7.2107527225006</v>
      </c>
      <c r="H67">
        <f t="shared" si="5"/>
        <v>3.2021352696816368</v>
      </c>
      <c r="I67">
        <f t="shared" si="5"/>
        <v>2.649499552120996</v>
      </c>
      <c r="J67">
        <f t="shared" si="5"/>
        <v>1.048184720337944</v>
      </c>
      <c r="K67">
        <f t="shared" si="5"/>
        <v>1.472675537032925</v>
      </c>
      <c r="L67">
        <f t="shared" si="5"/>
        <v>2.996884568469066</v>
      </c>
      <c r="M67">
        <f t="shared" si="5"/>
        <v>10.780658707017</v>
      </c>
      <c r="N67">
        <f t="shared" si="5"/>
        <v>39.89880297919716</v>
      </c>
      <c r="O67">
        <f t="shared" si="5"/>
        <v>38.68744127797019</v>
      </c>
      <c r="P67">
        <f t="shared" si="5"/>
        <v>14.69712136032356</v>
      </c>
      <c r="Q67">
        <f t="shared" si="5"/>
        <v>5.928020251363484</v>
      </c>
      <c r="R67">
        <f t="shared" si="5"/>
        <v>7.641002885031443</v>
      </c>
      <c r="S67">
        <f t="shared" si="5"/>
        <v>8.240661958424731</v>
      </c>
      <c r="T67">
        <f t="shared" si="5"/>
        <v>4.747421006458524</v>
      </c>
      <c r="U67">
        <f t="shared" si="5"/>
        <v>1.633316924667181</v>
      </c>
      <c r="V67">
        <f t="shared" si="5"/>
        <v>1.089694741602012</v>
      </c>
      <c r="W67">
        <f t="shared" si="5"/>
        <v>1.2932178236631588</v>
      </c>
      <c r="X67">
        <f t="shared" si="5"/>
        <v>1.858842865043433</v>
      </c>
      <c r="Y67">
        <f t="shared" si="5"/>
        <v>33.451024162086</v>
      </c>
      <c r="Z67">
        <f t="shared" si="5"/>
        <v>19.78397584459724</v>
      </c>
      <c r="AA67">
        <f t="shared" si="1"/>
        <v>108.07465877241414</v>
      </c>
      <c r="AB67">
        <f t="shared" si="2"/>
        <v>139.05174110123096</v>
      </c>
      <c r="AC67">
        <f t="shared" si="3"/>
        <v>-0.25069828512579223</v>
      </c>
      <c r="AD67" s="3">
        <f t="shared" si="0"/>
        <v>123.56319993682257</v>
      </c>
      <c r="AE67" s="3">
        <f>AD67/SUM($AD$63:$AD$67)*100</f>
        <v>24.89410138044359</v>
      </c>
      <c r="AL67" s="3">
        <f>(AD67*1000)/(Q_monthly_by_region!AA66/10000)</f>
        <v>1.2545246613187198</v>
      </c>
    </row>
    <row r="68" ht="12.75">
      <c r="AP68" t="s">
        <v>656</v>
      </c>
    </row>
    <row r="69" ht="12.75">
      <c r="AP69" t="e">
        <f>#REF!+Q_monthly_by_region!AB8</f>
        <v>#REF!</v>
      </c>
    </row>
    <row r="424" spans="36:41" ht="12.75">
      <c r="AJ424" s="273"/>
      <c r="AK424" s="274"/>
      <c r="AL424" s="274"/>
      <c r="AM424" s="274"/>
      <c r="AN424" s="274"/>
      <c r="AO424" s="274"/>
    </row>
    <row r="425" spans="36:41" ht="13.5" thickBot="1">
      <c r="AJ425" s="275"/>
      <c r="AK425" s="275"/>
      <c r="AL425" s="275"/>
      <c r="AM425" s="275"/>
      <c r="AN425" s="275"/>
      <c r="AO425" s="275"/>
    </row>
    <row r="426" spans="36:41" ht="12.75">
      <c r="AJ426" s="167"/>
      <c r="AK426" s="168"/>
      <c r="AL426" s="168"/>
      <c r="AM426" s="168"/>
      <c r="AN426" s="168"/>
      <c r="AO426" s="169"/>
    </row>
    <row r="427" spans="36:41" ht="12.75">
      <c r="AJ427" s="170"/>
      <c r="AK427" s="65"/>
      <c r="AL427" s="65"/>
      <c r="AM427" s="65"/>
      <c r="AN427" s="65"/>
      <c r="AO427" s="171"/>
    </row>
    <row r="428" spans="36:41" ht="12.75">
      <c r="AJ428" s="172"/>
      <c r="AK428" s="173"/>
      <c r="AL428" s="173"/>
      <c r="AM428" s="173"/>
      <c r="AN428" s="174"/>
      <c r="AO428" s="175"/>
    </row>
    <row r="429" spans="36:41" ht="12.75">
      <c r="AJ429" s="172"/>
      <c r="AK429" s="173"/>
      <c r="AL429" s="173"/>
      <c r="AM429" s="173"/>
      <c r="AN429" s="174"/>
      <c r="AO429" s="175"/>
    </row>
    <row r="430" spans="36:41" ht="12.75">
      <c r="AJ430" s="172"/>
      <c r="AK430" s="173"/>
      <c r="AL430" s="173"/>
      <c r="AM430" s="173"/>
      <c r="AN430" s="174"/>
      <c r="AO430" s="175"/>
    </row>
    <row r="431" spans="36:41" ht="12.75">
      <c r="AJ431" s="172"/>
      <c r="AK431" s="173"/>
      <c r="AL431" s="173"/>
      <c r="AM431" s="173"/>
      <c r="AN431" s="174"/>
      <c r="AO431" s="175"/>
    </row>
    <row r="432" spans="36:41" ht="12.75">
      <c r="AJ432" s="172"/>
      <c r="AK432" s="173"/>
      <c r="AL432" s="173"/>
      <c r="AM432" s="173"/>
      <c r="AN432" s="174"/>
      <c r="AO432" s="175"/>
    </row>
    <row r="433" spans="36:41" ht="12.75">
      <c r="AJ433" s="170"/>
      <c r="AK433" s="174"/>
      <c r="AL433" s="174"/>
      <c r="AM433" s="174"/>
      <c r="AN433" s="174"/>
      <c r="AO433" s="176"/>
    </row>
    <row r="434" spans="36:41" ht="13.5" thickBot="1">
      <c r="AJ434" s="177"/>
      <c r="AK434" s="178"/>
      <c r="AL434" s="178"/>
      <c r="AM434" s="178"/>
      <c r="AN434" s="179"/>
      <c r="AO434" s="180"/>
    </row>
    <row r="435" spans="37:41" ht="13.5" thickBot="1">
      <c r="AK435" s="7"/>
      <c r="AL435" s="7"/>
      <c r="AM435" s="7"/>
      <c r="AN435" s="7"/>
      <c r="AO435" s="7"/>
    </row>
    <row r="436" spans="36:41" ht="12.75">
      <c r="AJ436" s="167"/>
      <c r="AK436" s="168"/>
      <c r="AL436" s="168"/>
      <c r="AM436" s="168"/>
      <c r="AN436" s="168"/>
      <c r="AO436" s="169"/>
    </row>
    <row r="437" spans="36:41" ht="12.75">
      <c r="AJ437" s="170"/>
      <c r="AK437" s="65"/>
      <c r="AL437" s="65"/>
      <c r="AM437" s="65"/>
      <c r="AN437" s="65"/>
      <c r="AO437" s="171"/>
    </row>
    <row r="438" spans="36:41" ht="12.75">
      <c r="AJ438" s="172"/>
      <c r="AK438" s="173"/>
      <c r="AL438" s="173"/>
      <c r="AM438" s="173"/>
      <c r="AN438" s="181"/>
      <c r="AO438" s="175"/>
    </row>
    <row r="439" spans="36:41" ht="12.75">
      <c r="AJ439" s="172"/>
      <c r="AK439" s="173"/>
      <c r="AL439" s="173"/>
      <c r="AM439" s="173"/>
      <c r="AN439" s="174"/>
      <c r="AO439" s="175"/>
    </row>
    <row r="440" spans="36:41" ht="12.75">
      <c r="AJ440" s="172"/>
      <c r="AK440" s="173"/>
      <c r="AL440" s="173"/>
      <c r="AM440" s="173"/>
      <c r="AN440" s="181"/>
      <c r="AO440" s="175"/>
    </row>
    <row r="441" spans="36:41" ht="12.75">
      <c r="AJ441" s="172"/>
      <c r="AK441" s="173"/>
      <c r="AL441" s="173"/>
      <c r="AM441" s="173"/>
      <c r="AN441" s="181"/>
      <c r="AO441" s="175"/>
    </row>
    <row r="442" spans="36:41" ht="12.75">
      <c r="AJ442" s="172"/>
      <c r="AK442" s="173"/>
      <c r="AL442" s="173"/>
      <c r="AM442" s="173"/>
      <c r="AN442" s="181"/>
      <c r="AO442" s="175"/>
    </row>
    <row r="443" spans="36:41" ht="12.75">
      <c r="AJ443" s="170"/>
      <c r="AK443" s="173"/>
      <c r="AL443" s="173"/>
      <c r="AM443" s="173"/>
      <c r="AN443" s="174"/>
      <c r="AO443" s="175"/>
    </row>
    <row r="444" spans="36:41" ht="13.5" thickBot="1">
      <c r="AJ444" s="177"/>
      <c r="AK444" s="178"/>
      <c r="AL444" s="178"/>
      <c r="AM444" s="178"/>
      <c r="AN444" s="179"/>
      <c r="AO444" s="180"/>
    </row>
    <row r="445" spans="37:41" ht="13.5" thickBot="1">
      <c r="AK445" s="7"/>
      <c r="AL445" s="7"/>
      <c r="AM445" s="7"/>
      <c r="AN445" s="7"/>
      <c r="AO445" s="7"/>
    </row>
    <row r="446" spans="36:41" ht="12.75">
      <c r="AJ446" s="167"/>
      <c r="AK446" s="168"/>
      <c r="AL446" s="168"/>
      <c r="AM446" s="168"/>
      <c r="AN446" s="168"/>
      <c r="AO446" s="169"/>
    </row>
    <row r="447" spans="36:41" ht="12.75">
      <c r="AJ447" s="182"/>
      <c r="AK447" s="65"/>
      <c r="AL447" s="65"/>
      <c r="AM447" s="65"/>
      <c r="AN447" s="65"/>
      <c r="AO447" s="171"/>
    </row>
    <row r="448" spans="36:41" ht="12.75">
      <c r="AJ448" s="170"/>
      <c r="AK448" s="174"/>
      <c r="AL448" s="174"/>
      <c r="AM448" s="174"/>
      <c r="AN448" s="181"/>
      <c r="AO448" s="176"/>
    </row>
    <row r="449" spans="36:41" ht="12.75">
      <c r="AJ449" s="170"/>
      <c r="AK449" s="174"/>
      <c r="AL449" s="174"/>
      <c r="AM449" s="174"/>
      <c r="AN449" s="181"/>
      <c r="AO449" s="176"/>
    </row>
    <row r="450" spans="36:41" ht="12.75">
      <c r="AJ450" s="170"/>
      <c r="AK450" s="174"/>
      <c r="AL450" s="174"/>
      <c r="AM450" s="174"/>
      <c r="AN450" s="181"/>
      <c r="AO450" s="176"/>
    </row>
    <row r="451" spans="36:41" ht="12.75">
      <c r="AJ451" s="170"/>
      <c r="AK451" s="174"/>
      <c r="AL451" s="174"/>
      <c r="AM451" s="174"/>
      <c r="AN451" s="181"/>
      <c r="AO451" s="176"/>
    </row>
    <row r="452" spans="36:41" ht="12.75">
      <c r="AJ452" s="170"/>
      <c r="AK452" s="174"/>
      <c r="AL452" s="174"/>
      <c r="AM452" s="174"/>
      <c r="AN452" s="181"/>
      <c r="AO452" s="176"/>
    </row>
    <row r="453" spans="36:41" ht="12.75">
      <c r="AJ453" s="170"/>
      <c r="AK453" s="46"/>
      <c r="AL453" s="46"/>
      <c r="AM453" s="46"/>
      <c r="AN453" s="46"/>
      <c r="AO453" s="183"/>
    </row>
    <row r="454" spans="36:41" ht="13.5" thickBot="1">
      <c r="AJ454" s="177"/>
      <c r="AK454" s="179"/>
      <c r="AL454" s="179"/>
      <c r="AM454" s="179"/>
      <c r="AN454" s="184"/>
      <c r="AO454" s="185"/>
    </row>
  </sheetData>
  <mergeCells count="1">
    <mergeCell ref="AJ424:AO425"/>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C1:Z31"/>
  <sheetViews>
    <sheetView workbookViewId="0" topLeftCell="B18">
      <selection activeCell="F19" sqref="F19"/>
    </sheetView>
  </sheetViews>
  <sheetFormatPr defaultColWidth="9.140625" defaultRowHeight="12.75"/>
  <cols>
    <col min="3" max="3" width="35.7109375" style="0" customWidth="1"/>
    <col min="4" max="10" width="6.00390625" style="0" customWidth="1"/>
    <col min="11" max="11" width="7.28125" style="0" customWidth="1"/>
    <col min="12" max="12" width="6.00390625" style="0" customWidth="1"/>
    <col min="14" max="14" width="12.28125" style="0" bestFit="1" customWidth="1"/>
  </cols>
  <sheetData>
    <row r="1" spans="3:18" ht="15">
      <c r="C1" s="273" t="s">
        <v>739</v>
      </c>
      <c r="D1" s="274"/>
      <c r="E1" s="274"/>
      <c r="F1" s="274"/>
      <c r="G1" s="274"/>
      <c r="H1" s="274"/>
      <c r="I1" s="274"/>
      <c r="J1" s="274"/>
      <c r="K1" s="274"/>
      <c r="L1" s="274"/>
      <c r="R1" s="189" t="s">
        <v>84</v>
      </c>
    </row>
    <row r="2" spans="3:12" ht="13.5" thickBot="1">
      <c r="C2" s="275"/>
      <c r="D2" s="275"/>
      <c r="E2" s="275"/>
      <c r="F2" s="275"/>
      <c r="G2" s="275"/>
      <c r="H2" s="275"/>
      <c r="I2" s="275"/>
      <c r="J2" s="275"/>
      <c r="K2" s="275"/>
      <c r="L2" s="275"/>
    </row>
    <row r="3" spans="3:19" ht="12.75">
      <c r="C3" s="167" t="s">
        <v>740</v>
      </c>
      <c r="D3" s="168"/>
      <c r="E3" s="168"/>
      <c r="F3" s="168"/>
      <c r="G3" s="168"/>
      <c r="H3" s="168"/>
      <c r="I3" s="168"/>
      <c r="J3" s="168"/>
      <c r="K3" s="168"/>
      <c r="L3" s="169"/>
      <c r="R3">
        <v>421</v>
      </c>
      <c r="S3">
        <v>162</v>
      </c>
    </row>
    <row r="4" spans="3:19" ht="12.75">
      <c r="C4" s="170"/>
      <c r="D4" s="65" t="s">
        <v>144</v>
      </c>
      <c r="E4" s="65" t="s">
        <v>145</v>
      </c>
      <c r="F4" s="65" t="s">
        <v>146</v>
      </c>
      <c r="G4" s="65" t="s">
        <v>644</v>
      </c>
      <c r="H4" s="65" t="s">
        <v>164</v>
      </c>
      <c r="I4" s="65" t="s">
        <v>143</v>
      </c>
      <c r="J4" s="65" t="s">
        <v>613</v>
      </c>
      <c r="K4" s="65" t="s">
        <v>792</v>
      </c>
      <c r="L4" s="171" t="s">
        <v>790</v>
      </c>
      <c r="R4">
        <v>56</v>
      </c>
      <c r="S4">
        <v>30</v>
      </c>
    </row>
    <row r="5" spans="3:19" ht="12.75">
      <c r="C5" s="172" t="s">
        <v>732</v>
      </c>
      <c r="D5" s="173">
        <f>Flow_weighted!AA17</f>
        <v>22.338134815822787</v>
      </c>
      <c r="E5" s="174">
        <f>Flow_weighted!AA22</f>
        <v>10.037016365712576</v>
      </c>
      <c r="F5" s="174">
        <f>Flow_weighted!AA27</f>
        <v>0.3812397354876937</v>
      </c>
      <c r="G5" s="173">
        <f>D5+E5+F5</f>
        <v>32.75639091702306</v>
      </c>
      <c r="H5" s="173">
        <f>Flow_weighted!AA7</f>
        <v>38.47161860759441</v>
      </c>
      <c r="I5" s="173">
        <f>Flow_weighted!AA12</f>
        <v>71.80842697572514</v>
      </c>
      <c r="J5" s="173">
        <f>Flow_weighted!AA42</f>
        <v>36.335326010999516</v>
      </c>
      <c r="K5" s="173">
        <f>H5+J5</f>
        <v>74.80694461859392</v>
      </c>
      <c r="L5" s="175">
        <f>J5+I5</f>
        <v>108.14375298672465</v>
      </c>
      <c r="R5">
        <v>28</v>
      </c>
      <c r="S5">
        <v>15</v>
      </c>
    </row>
    <row r="6" spans="3:19" ht="12.75">
      <c r="C6" s="172" t="s">
        <v>733</v>
      </c>
      <c r="D6" s="173">
        <f>Flow_weighted!AA18</f>
        <v>70.64355435460067</v>
      </c>
      <c r="E6" s="174">
        <f>Flow_weighted!AA23</f>
        <v>9.54018308191798</v>
      </c>
      <c r="F6" s="174">
        <f>Flow_weighted!AA28</f>
        <v>2.925125657346623</v>
      </c>
      <c r="G6" s="173">
        <f>D6+E6+F6</f>
        <v>83.10886309386527</v>
      </c>
      <c r="H6" s="173">
        <f>Flow_weighted!AA8</f>
        <v>22.38249983815244</v>
      </c>
      <c r="I6" s="173">
        <f>Flow_weighted!AA13</f>
        <v>105.56195377054559</v>
      </c>
      <c r="J6" s="173">
        <f>Flow_weighted!AA43</f>
        <v>80.54899660616063</v>
      </c>
      <c r="K6" s="173">
        <f>H6+J6</f>
        <v>102.93149644431307</v>
      </c>
      <c r="L6" s="175">
        <f>J6+I6</f>
        <v>186.11095037670623</v>
      </c>
      <c r="R6">
        <v>30</v>
      </c>
      <c r="S6">
        <v>11</v>
      </c>
    </row>
    <row r="7" spans="3:12" ht="12.75">
      <c r="C7" s="172" t="s">
        <v>734</v>
      </c>
      <c r="D7" s="173">
        <f>Flow_weighted!AA19</f>
        <v>197.96601678246876</v>
      </c>
      <c r="E7" s="174">
        <f>Flow_weighted!AA24</f>
        <v>12.721336007387489</v>
      </c>
      <c r="F7" s="174">
        <f>Flow_weighted!AA29</f>
        <v>0.8565997172513027</v>
      </c>
      <c r="G7" s="173">
        <f>D7+E7+F7</f>
        <v>211.54395250710755</v>
      </c>
      <c r="H7" s="173">
        <f>Flow_weighted!AA9</f>
        <v>71.53825691209308</v>
      </c>
      <c r="I7" s="173">
        <f>Flow_weighted!AA14</f>
        <v>282.5765581042501</v>
      </c>
      <c r="J7" s="173">
        <f>Flow_weighted!AA44</f>
        <v>36.72597011498552</v>
      </c>
      <c r="K7" s="173">
        <f>H7+J7</f>
        <v>108.26422702707859</v>
      </c>
      <c r="L7" s="175">
        <f>J7+I7</f>
        <v>319.3025282192356</v>
      </c>
    </row>
    <row r="8" spans="3:19" ht="12.75">
      <c r="C8" s="172" t="s">
        <v>735</v>
      </c>
      <c r="D8" s="173">
        <f>Flow_weighted!AA20</f>
        <v>325.29808682168743</v>
      </c>
      <c r="E8" s="174">
        <f>Flow_weighted!AA25</f>
        <v>12.744539889782574</v>
      </c>
      <c r="F8" s="174">
        <f>Flow_weighted!AA30</f>
        <v>0.960287735513003</v>
      </c>
      <c r="G8" s="173">
        <f>D8+E8+F8</f>
        <v>339.002914446983</v>
      </c>
      <c r="H8" s="173">
        <f>Flow_weighted!AA10</f>
        <v>113.88282177934511</v>
      </c>
      <c r="I8" s="173">
        <f>Flow_weighted!AA15</f>
        <v>451.6858273580141</v>
      </c>
      <c r="J8" s="173">
        <f>Flow_weighted!AA45</f>
        <v>43.090673329868444</v>
      </c>
      <c r="K8" s="173">
        <f>H8+J8</f>
        <v>156.97349510921356</v>
      </c>
      <c r="L8" s="175">
        <f>J8+I8</f>
        <v>494.7765006878825</v>
      </c>
      <c r="R8">
        <f>SUM(R3:R5)</f>
        <v>505</v>
      </c>
      <c r="S8">
        <f>SUM(S3:S5)</f>
        <v>207</v>
      </c>
    </row>
    <row r="9" spans="3:12" ht="12.75">
      <c r="C9" s="172" t="s">
        <v>736</v>
      </c>
      <c r="D9" s="173">
        <f>Flow_weighted!AA21</f>
        <v>61.46769610996084</v>
      </c>
      <c r="E9" s="174">
        <f>Flow_weighted!AA26</f>
        <v>7.61698260824096</v>
      </c>
      <c r="F9" s="174">
        <f>Flow_weighted!AA31</f>
        <v>0.3519832539386485</v>
      </c>
      <c r="G9" s="173">
        <f>D9+E9+F9</f>
        <v>69.43666197214046</v>
      </c>
      <c r="H9" s="173">
        <f>Flow_weighted!AA11</f>
        <v>38.23722322753907</v>
      </c>
      <c r="I9" s="173">
        <f>Flow_weighted!AA16</f>
        <v>108.00704757222724</v>
      </c>
      <c r="J9" s="173">
        <f>Flow_weighted!AA46</f>
        <v>33.933261534922416</v>
      </c>
      <c r="K9" s="173">
        <f>H9+J9</f>
        <v>72.17048476246148</v>
      </c>
      <c r="L9" s="175">
        <f>J9+I9</f>
        <v>141.94030910714966</v>
      </c>
    </row>
    <row r="10" spans="3:14" ht="12.75">
      <c r="C10" s="170"/>
      <c r="D10" s="174"/>
      <c r="E10" s="174"/>
      <c r="F10" s="174"/>
      <c r="G10" s="174"/>
      <c r="H10" s="174"/>
      <c r="I10" s="174"/>
      <c r="J10" s="46"/>
      <c r="K10" s="46"/>
      <c r="L10" s="176"/>
      <c r="N10">
        <f>0.4*3.28*12</f>
        <v>15.744</v>
      </c>
    </row>
    <row r="11" spans="3:12" s="24" customFormat="1" ht="27" thickBot="1">
      <c r="C11" s="177" t="s">
        <v>85</v>
      </c>
      <c r="D11" s="178">
        <f>SUMPRODUCT(D5:D9,Q_monthly_by_region!$AC$2:$AC$6)/SUM(Q_monthly_by_region!$AC$2:$AC$6)</f>
        <v>97.11077572845839</v>
      </c>
      <c r="E11" s="179">
        <f>SUMPRODUCT(E5:E9,Q_monthly_by_region!$AC$2:$AC$6)/SUM(Q_monthly_by_region!$AC$2:$AC$6)</f>
        <v>9.470151689309594</v>
      </c>
      <c r="F11" s="179">
        <f>SUMPRODUCT(F5:F9,Q_monthly_by_region!$AC$2:$AC$6)/SUM(Q_monthly_by_region!$AC$2:$AC$6)</f>
        <v>1.2091291628543115</v>
      </c>
      <c r="G11" s="178">
        <f>SUMPRODUCT(G5:G9,Q_monthly_by_region!$AC$2:$AC$6)/SUM(Q_monthly_by_region!$AC$2:$AC$6)</f>
        <v>107.79005658062229</v>
      </c>
      <c r="H11" s="178">
        <f>SUMPRODUCT(H5:H9,Q_monthly_by_region!$AC$2:$AC$6)/SUM(Q_monthly_by_region!$AC$2:$AC$6)</f>
        <v>44.0618953214634</v>
      </c>
      <c r="I11" s="178">
        <f>SUMPRODUCT(I5:I9,Q_monthly_by_region!$AC$2:$AC$6)/SUM(Q_monthly_by_region!$AC$2:$AC$6)</f>
        <v>151.91557150943933</v>
      </c>
      <c r="J11" s="178">
        <f>SUMPRODUCT(J5:J9,Q_monthly_by_region!$AC$2:$AC$6)/SUM(Q_monthly_by_region!$AC$2:$AC$6)</f>
        <v>48.93418289812443</v>
      </c>
      <c r="K11" s="178">
        <f>SUMPRODUCT(K5:K9,Q_monthly_by_region!$AC$2:$AC$6)/SUM(Q_monthly_by_region!$AC$2:$AC$6)</f>
        <v>92.99607821958783</v>
      </c>
      <c r="L11" s="180">
        <f>SUMPRODUCT(L5:L9,Q_monthly_by_region!$AC$2:$AC$6)/SUM(Q_monthly_by_region!$AC$2:$AC$6)</f>
        <v>200.84975440756375</v>
      </c>
    </row>
    <row r="12" spans="4:12" ht="13.5" thickBot="1">
      <c r="D12" s="7"/>
      <c r="E12" s="7"/>
      <c r="F12" s="7"/>
      <c r="G12" s="7"/>
      <c r="H12" s="7"/>
      <c r="I12" s="7"/>
      <c r="J12" s="7"/>
      <c r="K12" s="7"/>
      <c r="L12" s="7"/>
    </row>
    <row r="13" spans="3:26" ht="12.75">
      <c r="C13" s="167" t="s">
        <v>741</v>
      </c>
      <c r="D13" s="168"/>
      <c r="E13" s="168"/>
      <c r="F13" s="168"/>
      <c r="G13" s="168"/>
      <c r="H13" s="168"/>
      <c r="I13" s="168"/>
      <c r="J13" s="168"/>
      <c r="K13" s="168"/>
      <c r="L13" s="169"/>
      <c r="R13" t="e">
        <f>SUMPRODUCT(#REF!,Q_monthly_by_region!$AA$2:$AA$6)/SUM(Q_monthly_by_region!$AA$2:$AA$6)</f>
        <v>#REF!</v>
      </c>
      <c r="S13">
        <f>SUMPRODUCT(H25:H29,Q_monthly_by_region!$AA$2:$AA$6)/SUM(Q_monthly_by_region!$AA$2:$AA$6)</f>
        <v>0.7306919900709743</v>
      </c>
      <c r="T13">
        <f>SUMPRODUCT(I25:I29,Q_monthly_by_region!$AA$2:$AA$6)/SUM(Q_monthly_by_region!$AA$2:$AA$6)</f>
        <v>2.524710336478712</v>
      </c>
      <c r="U13">
        <f>SUMPRODUCT(G25:G29,Q_monthly_by_region!$AA$2:$AA$6)/SUM(Q_monthly_by_region!$AA$2:$AA$6)</f>
        <v>1.7928673777587598</v>
      </c>
      <c r="V13">
        <f>SUMPRODUCT(D25:D29,Q_monthly_by_region!$AA$2:$AA$6)/SUM(Q_monthly_by_region!$AA$2:$AA$6)</f>
        <v>1.6153140579877807</v>
      </c>
      <c r="W13">
        <f>SUMPRODUCT(E25:E29,Q_monthly_by_region!$AA$2:$AA$6)/SUM(Q_monthly_by_region!$AA$2:$AA$6)</f>
        <v>0.15730431791894864</v>
      </c>
      <c r="X13">
        <f>SUMPRODUCT(F25:F29,Q_monthly_by_region!$AA$2:$AA$6)/SUM(Q_monthly_by_region!$AA$2:$AA$6)</f>
        <v>0.02024900185203046</v>
      </c>
      <c r="Y13" t="e">
        <f>SUMPRODUCT(#REF!,Q_monthly_by_region!$AA$2:$AA$6)/SUM(Q_monthly_by_region!$AA$2:$AA$6)</f>
        <v>#REF!</v>
      </c>
      <c r="Z13" t="e">
        <f>SUMPRODUCT(#REF!,Q_monthly_by_region!$AA$2:$AA$6)/SUM(Q_monthly_by_region!$AA$2:$AA$6)</f>
        <v>#REF!</v>
      </c>
    </row>
    <row r="14" spans="3:26" ht="12.75">
      <c r="C14" s="170"/>
      <c r="D14" s="65" t="s">
        <v>144</v>
      </c>
      <c r="E14" s="65" t="s">
        <v>145</v>
      </c>
      <c r="F14" s="65" t="s">
        <v>146</v>
      </c>
      <c r="G14" s="65" t="s">
        <v>644</v>
      </c>
      <c r="H14" s="65" t="s">
        <v>164</v>
      </c>
      <c r="I14" s="65" t="s">
        <v>143</v>
      </c>
      <c r="J14" s="236" t="str">
        <f>J4</f>
        <v>PN</v>
      </c>
      <c r="K14" s="236" t="str">
        <f>K4</f>
        <v>TON</v>
      </c>
      <c r="L14" s="237" t="str">
        <f>L4</f>
        <v>TN</v>
      </c>
      <c r="R14" s="7" t="e">
        <f>SUM(#REF!)</f>
        <v>#REF!</v>
      </c>
      <c r="S14" s="7">
        <f>SUM(H15:H19)</f>
        <v>202.29207745114914</v>
      </c>
      <c r="T14" s="7">
        <f>SUM(I15:I19)</f>
        <v>698.9660566541311</v>
      </c>
      <c r="U14" s="7">
        <f>SUM(G15:G19)</f>
        <v>496.35533353251253</v>
      </c>
      <c r="V14" s="7">
        <f>SUM(D15:D19)</f>
        <v>447.19969695391694</v>
      </c>
      <c r="W14" s="7">
        <f>SUM(E15:E19)</f>
        <v>43.54970041586091</v>
      </c>
      <c r="X14" s="7">
        <f>SUM(F15:F19)</f>
        <v>5.605936162734629</v>
      </c>
      <c r="Y14" s="7" t="e">
        <f>SUM(#REF!)</f>
        <v>#REF!</v>
      </c>
      <c r="Z14" s="7">
        <f>SUM(L15:L19)</f>
        <v>925.428313978849</v>
      </c>
    </row>
    <row r="15" spans="3:16" ht="12.75">
      <c r="C15" s="172" t="s">
        <v>732</v>
      </c>
      <c r="D15" s="173">
        <f>Loads!AD18</f>
        <v>13.762302618900463</v>
      </c>
      <c r="E15" s="174">
        <f>Loads!AD23</f>
        <v>6.152314699985889</v>
      </c>
      <c r="F15" s="181">
        <f>Loads!AD28</f>
        <v>0.23426600111640505</v>
      </c>
      <c r="G15" s="173">
        <f>D15+E15+F15</f>
        <v>20.14888332000276</v>
      </c>
      <c r="H15" s="173">
        <f>Loads!AD8</f>
        <v>23.63622784323971</v>
      </c>
      <c r="I15" s="173">
        <f>Loads!AD13</f>
        <v>44.14704727401374</v>
      </c>
      <c r="J15" s="173">
        <f>Loads!AD43</f>
        <v>22.434420224426688</v>
      </c>
      <c r="K15" s="173">
        <f>J15+H15</f>
        <v>46.0706480676664</v>
      </c>
      <c r="L15" s="175">
        <f>J15+I15</f>
        <v>66.58146749844042</v>
      </c>
      <c r="N15">
        <f>K15/L15</f>
        <v>0.6919440168353985</v>
      </c>
      <c r="P15" s="164">
        <f>(L16+L19+L15)/L21</f>
        <v>0.6149515754135851</v>
      </c>
    </row>
    <row r="16" spans="3:14" ht="12.75">
      <c r="C16" s="172" t="s">
        <v>733</v>
      </c>
      <c r="D16" s="173">
        <f>Loads!AD19</f>
        <v>94.75095345256457</v>
      </c>
      <c r="E16" s="174">
        <f>Loads!AD24</f>
        <v>12.775004760391164</v>
      </c>
      <c r="F16" s="181">
        <f>Loads!AD29</f>
        <v>3.94838751933071</v>
      </c>
      <c r="G16" s="173">
        <f>D16+E16+F16</f>
        <v>111.47434573228645</v>
      </c>
      <c r="H16" s="173">
        <f>Loads!AD9</f>
        <v>29.91063116620822</v>
      </c>
      <c r="I16" s="173">
        <f>Loads!AD14</f>
        <v>141.4811447686507</v>
      </c>
      <c r="J16" s="173">
        <f>Loads!AD44</f>
        <v>108.70859195498767</v>
      </c>
      <c r="K16" s="173">
        <f>J16+H16</f>
        <v>138.6192231211959</v>
      </c>
      <c r="L16" s="175">
        <f>J16+I16</f>
        <v>250.18973672363836</v>
      </c>
      <c r="N16">
        <f>K16/L16</f>
        <v>0.5540563931058284</v>
      </c>
    </row>
    <row r="17" spans="3:14" ht="12.75">
      <c r="C17" s="172" t="s">
        <v>734</v>
      </c>
      <c r="D17" s="173">
        <f>Loads!AD20</f>
        <v>85.67675888337943</v>
      </c>
      <c r="E17" s="174">
        <f>Loads!AD25</f>
        <v>5.510917129699215</v>
      </c>
      <c r="F17" s="181">
        <f>Loads!AD30</f>
        <v>0.370793646767868</v>
      </c>
      <c r="G17" s="173">
        <f>D17+E17+F17</f>
        <v>91.55846965984651</v>
      </c>
      <c r="H17" s="173">
        <f>Loads!AD10</f>
        <v>30.938194185452218</v>
      </c>
      <c r="I17" s="173">
        <f>Loads!AD15</f>
        <v>122.28219612845444</v>
      </c>
      <c r="J17" s="173">
        <f>Loads!AD45</f>
        <v>15.882056635142542</v>
      </c>
      <c r="K17" s="173">
        <f>J17+H17</f>
        <v>46.82025082059476</v>
      </c>
      <c r="L17" s="175">
        <f>J17+I17</f>
        <v>138.16425276359698</v>
      </c>
      <c r="N17">
        <f>K17/L17</f>
        <v>0.33887383953579914</v>
      </c>
    </row>
    <row r="18" spans="3:14" ht="12.75">
      <c r="C18" s="172" t="s">
        <v>735</v>
      </c>
      <c r="D18" s="173">
        <f>Loads!AD21</f>
        <v>143.54677372165236</v>
      </c>
      <c r="E18" s="174">
        <f>Loads!AD26</f>
        <v>5.640371515425902</v>
      </c>
      <c r="F18" s="181">
        <f>Loads!AD31</f>
        <v>0.4232896464759401</v>
      </c>
      <c r="G18" s="173">
        <f>D18+E18+F18</f>
        <v>149.6104348835542</v>
      </c>
      <c r="H18" s="173">
        <f>Loads!AD11</f>
        <v>50.113766881578535</v>
      </c>
      <c r="I18" s="173">
        <f>Loads!AD16</f>
        <v>199.1975132341379</v>
      </c>
      <c r="J18" s="173">
        <f>Loads!AD46</f>
        <v>18.972948367483085</v>
      </c>
      <c r="K18" s="173">
        <f>J18+H18</f>
        <v>69.08671524906163</v>
      </c>
      <c r="L18" s="175">
        <f>J18+I18</f>
        <v>218.17046160162096</v>
      </c>
      <c r="N18">
        <f>K18/L18</f>
        <v>0.31666392756327344</v>
      </c>
    </row>
    <row r="19" spans="3:15" ht="12.75">
      <c r="C19" s="172" t="s">
        <v>736</v>
      </c>
      <c r="D19" s="173">
        <f>Loads!AD22</f>
        <v>109.46290827742011</v>
      </c>
      <c r="E19" s="174">
        <f>Loads!AD27</f>
        <v>13.471092310358742</v>
      </c>
      <c r="F19" s="181">
        <f>Loads!AD32</f>
        <v>0.629199349043707</v>
      </c>
      <c r="G19" s="173">
        <f>D19+E19+F19</f>
        <v>123.56319993682256</v>
      </c>
      <c r="H19" s="173">
        <f>Loads!AD12</f>
        <v>67.69325737467045</v>
      </c>
      <c r="I19" s="173">
        <f>Loads!AD17</f>
        <v>191.85815524887428</v>
      </c>
      <c r="J19" s="173">
        <f>Loads!AD47</f>
        <v>60.46424014267809</v>
      </c>
      <c r="K19" s="173">
        <f>J19+H19</f>
        <v>128.15749751734853</v>
      </c>
      <c r="L19" s="175">
        <f>J19+I19</f>
        <v>252.3223953915524</v>
      </c>
      <c r="N19">
        <f>K19/L19</f>
        <v>0.5079117028770851</v>
      </c>
      <c r="O19" t="e">
        <f>#REF!/#REF!*100</f>
        <v>#REF!</v>
      </c>
    </row>
    <row r="20" spans="3:15" ht="12.75">
      <c r="C20" s="170"/>
      <c r="D20" s="173"/>
      <c r="E20" s="174"/>
      <c r="F20" s="174"/>
      <c r="G20" s="173"/>
      <c r="H20" s="173"/>
      <c r="I20" s="173"/>
      <c r="J20" s="46"/>
      <c r="K20" s="46"/>
      <c r="L20" s="175"/>
      <c r="O20" t="e">
        <f>#REF!/#REF!*100</f>
        <v>#REF!</v>
      </c>
    </row>
    <row r="21" spans="3:15" s="24" customFormat="1" ht="13.5" thickBot="1">
      <c r="C21" s="177" t="s">
        <v>731</v>
      </c>
      <c r="D21" s="178">
        <f aca="true" t="shared" si="0" ref="D21:I21">SUM(D15:D19)</f>
        <v>447.19969695391694</v>
      </c>
      <c r="E21" s="178">
        <f t="shared" si="0"/>
        <v>43.54970041586091</v>
      </c>
      <c r="F21" s="179">
        <f t="shared" si="0"/>
        <v>5.605936162734629</v>
      </c>
      <c r="G21" s="178">
        <f t="shared" si="0"/>
        <v>496.35533353251253</v>
      </c>
      <c r="H21" s="178">
        <f t="shared" si="0"/>
        <v>202.29207745114914</v>
      </c>
      <c r="I21" s="178">
        <f t="shared" si="0"/>
        <v>698.9660566541311</v>
      </c>
      <c r="J21" s="178">
        <f>SUM(J15:J19)</f>
        <v>226.46225732471805</v>
      </c>
      <c r="K21" s="178">
        <f>SUM(K15:K19)</f>
        <v>428.7543347758672</v>
      </c>
      <c r="L21" s="180">
        <f>SUM(L15:L19)</f>
        <v>925.428313978849</v>
      </c>
      <c r="N21" s="24">
        <f>K21/L21</f>
        <v>0.4633036706348997</v>
      </c>
      <c r="O21" t="e">
        <f>#REF!/#REF!*100</f>
        <v>#REF!</v>
      </c>
    </row>
    <row r="22" spans="4:15" ht="13.5" thickBot="1">
      <c r="D22" s="7"/>
      <c r="E22" s="7"/>
      <c r="F22" s="7"/>
      <c r="G22" s="7"/>
      <c r="H22" s="7"/>
      <c r="I22" s="7"/>
      <c r="J22" s="7"/>
      <c r="K22" s="7"/>
      <c r="L22" s="7"/>
      <c r="O22" t="e">
        <f>#REF!/#REF!*100</f>
        <v>#REF!</v>
      </c>
    </row>
    <row r="23" spans="3:15" ht="12.75">
      <c r="C23" s="167" t="s">
        <v>742</v>
      </c>
      <c r="D23" s="168"/>
      <c r="E23" s="168"/>
      <c r="F23" s="168"/>
      <c r="G23" s="168"/>
      <c r="H23" s="168"/>
      <c r="I23" s="168"/>
      <c r="J23" s="168"/>
      <c r="K23" s="168"/>
      <c r="L23" s="169"/>
      <c r="N23" s="59">
        <f>K19+K16+K15</f>
        <v>312.84736870621083</v>
      </c>
      <c r="O23" t="e">
        <f>#REF!/#REF!*100</f>
        <v>#REF!</v>
      </c>
    </row>
    <row r="24" spans="3:15" ht="12.75">
      <c r="C24" s="182"/>
      <c r="D24" s="65" t="s">
        <v>144</v>
      </c>
      <c r="E24" s="65" t="s">
        <v>145</v>
      </c>
      <c r="F24" s="65" t="s">
        <v>146</v>
      </c>
      <c r="G24" s="65" t="s">
        <v>644</v>
      </c>
      <c r="H24" s="65" t="s">
        <v>164</v>
      </c>
      <c r="I24" s="65" t="s">
        <v>143</v>
      </c>
      <c r="J24" s="236" t="str">
        <f>J14</f>
        <v>PN</v>
      </c>
      <c r="K24" s="236" t="str">
        <f>K14</f>
        <v>TON</v>
      </c>
      <c r="L24" s="237" t="str">
        <f>L14</f>
        <v>TN</v>
      </c>
      <c r="O24" s="6" t="e">
        <f>#REF!+#REF!</f>
        <v>#REF!</v>
      </c>
    </row>
    <row r="25" spans="3:12" ht="12.75">
      <c r="C25" s="170" t="s">
        <v>732</v>
      </c>
      <c r="D25" s="174">
        <f>Loads!AL18</f>
        <v>0.5428466525021779</v>
      </c>
      <c r="E25" s="181">
        <f>Loads!AL23</f>
        <v>0.24267475672571068</v>
      </c>
      <c r="F25" s="181">
        <f>Loads!AL28</f>
        <v>0.009240496886506643</v>
      </c>
      <c r="G25" s="174">
        <f>D25+E25+F25</f>
        <v>0.7947619061143952</v>
      </c>
      <c r="H25" s="174">
        <f>Loads!AL8</f>
        <v>0.9323183421980709</v>
      </c>
      <c r="I25" s="174">
        <f>Loads!AL13</f>
        <v>1.7413566242644094</v>
      </c>
      <c r="J25" s="174">
        <f>Loads!AD43/(Q_monthly_by_region!AA2/10000)*1000</f>
        <v>0.8849136846425617</v>
      </c>
      <c r="K25" s="174">
        <f>J25+H25</f>
        <v>1.8172320268406326</v>
      </c>
      <c r="L25" s="176">
        <f>I25+J25</f>
        <v>2.626270308906971</v>
      </c>
    </row>
    <row r="26" spans="3:12" ht="12.75">
      <c r="C26" s="170" t="s">
        <v>733</v>
      </c>
      <c r="D26" s="174">
        <f>Loads!AL19</f>
        <v>2.8308589396158643</v>
      </c>
      <c r="E26" s="181">
        <f>Loads!AL24</f>
        <v>0.3816767548169692</v>
      </c>
      <c r="F26" s="181">
        <f>Loads!AL29</f>
        <v>0.11796533648350865</v>
      </c>
      <c r="G26" s="174">
        <f>D26+E26+F26</f>
        <v>3.330501030916342</v>
      </c>
      <c r="H26" s="174">
        <f>Loads!AL9</f>
        <v>0.8936350985513131</v>
      </c>
      <c r="I26" s="174">
        <f>Loads!AL14</f>
        <v>4.227009321398873</v>
      </c>
      <c r="J26" s="174">
        <f>Loads!AD44/(Q_monthly_by_region!AA3/10000)*1000</f>
        <v>3.247869051817976</v>
      </c>
      <c r="K26" s="174">
        <f>J26+H26</f>
        <v>4.141504150369289</v>
      </c>
      <c r="L26" s="176">
        <f>I26+J26</f>
        <v>7.474878373216848</v>
      </c>
    </row>
    <row r="27" spans="3:12" ht="12.75">
      <c r="C27" s="170" t="s">
        <v>734</v>
      </c>
      <c r="D27" s="174">
        <f>Loads!AL20</f>
        <v>1.4828666938921682</v>
      </c>
      <c r="E27" s="181">
        <f>Loads!AL25</f>
        <v>0.09538123956759624</v>
      </c>
      <c r="F27" s="181">
        <f>Loads!AL30</f>
        <v>0.006417581106765615</v>
      </c>
      <c r="G27" s="174">
        <f>D27+E27+F27</f>
        <v>1.58466551456653</v>
      </c>
      <c r="H27" s="174">
        <f>Loads!AL10</f>
        <v>0.5354686419595085</v>
      </c>
      <c r="I27" s="174">
        <f>Loads!AL15</f>
        <v>2.1164222159908417</v>
      </c>
      <c r="J27" s="174">
        <f>Loads!AD45/(Q_monthly_by_region!AA4/10000)*1000</f>
        <v>0.2748816962931436</v>
      </c>
      <c r="K27" s="174">
        <f>J27+H27</f>
        <v>0.810350338252652</v>
      </c>
      <c r="L27" s="176">
        <f>I27+J27</f>
        <v>2.3913039122839854</v>
      </c>
    </row>
    <row r="28" spans="3:12" ht="12.75">
      <c r="C28" s="170" t="s">
        <v>735</v>
      </c>
      <c r="D28" s="174">
        <f>Loads!AL21</f>
        <v>2.324443497875029</v>
      </c>
      <c r="E28" s="181">
        <f>Loads!AL26</f>
        <v>0.09133416624224455</v>
      </c>
      <c r="F28" s="181">
        <f>Loads!AL31</f>
        <v>0.006854301500197399</v>
      </c>
      <c r="G28" s="174">
        <f>D28+E28+F28</f>
        <v>2.422631965617471</v>
      </c>
      <c r="H28" s="174">
        <f>Loads!AL11</f>
        <v>0.8114889423275107</v>
      </c>
      <c r="I28" s="174">
        <f>Loads!AL16</f>
        <v>3.2255922750852117</v>
      </c>
      <c r="J28" s="174">
        <f>Loads!AD46/(Q_monthly_by_region!AA5/10000)*1000</f>
        <v>0.3072277093028284</v>
      </c>
      <c r="K28" s="174">
        <f>J28+H28</f>
        <v>1.118716651630339</v>
      </c>
      <c r="L28" s="176">
        <f>I28+J28</f>
        <v>3.5328199843880403</v>
      </c>
    </row>
    <row r="29" spans="3:12" ht="12.75">
      <c r="C29" s="170" t="s">
        <v>736</v>
      </c>
      <c r="D29" s="174">
        <f>Loads!AL22</f>
        <v>1.111365827397686</v>
      </c>
      <c r="E29" s="181">
        <f>Loads!AL27</f>
        <v>0.1367706366206672</v>
      </c>
      <c r="F29" s="181">
        <f>Loads!AL32</f>
        <v>0.006388197300366171</v>
      </c>
      <c r="G29" s="174">
        <f>D29+E29+F29</f>
        <v>1.2545246613187193</v>
      </c>
      <c r="H29" s="174">
        <f>Loads!AL12</f>
        <v>0.6872827898997448</v>
      </c>
      <c r="I29" s="174">
        <f>Loads!AL17</f>
        <v>1.947916429470042</v>
      </c>
      <c r="J29" s="174">
        <f>Loads!AD47/(Q_monthly_by_region!AA6/10000)*1000</f>
        <v>0.6138873096979586</v>
      </c>
      <c r="K29" s="174">
        <f>J29+H29</f>
        <v>1.3011700995977034</v>
      </c>
      <c r="L29" s="176">
        <f>I29+J29</f>
        <v>2.5618037391680004</v>
      </c>
    </row>
    <row r="30" spans="3:12" ht="12.75">
      <c r="C30" s="170"/>
      <c r="D30" s="46"/>
      <c r="E30" s="46"/>
      <c r="F30" s="46"/>
      <c r="G30" s="46"/>
      <c r="H30" s="46"/>
      <c r="I30" s="46"/>
      <c r="J30" s="46"/>
      <c r="K30" s="46"/>
      <c r="L30" s="183"/>
    </row>
    <row r="31" spans="3:12" s="24" customFormat="1" ht="13.5" thickBot="1">
      <c r="C31" s="177" t="s">
        <v>738</v>
      </c>
      <c r="D31" s="184">
        <f>ROUND(V13,2)</f>
        <v>1.62</v>
      </c>
      <c r="E31" s="184">
        <f>ROUND(W13,2)</f>
        <v>0.16</v>
      </c>
      <c r="F31" s="184">
        <f>ROUND(X13,3)</f>
        <v>0.02</v>
      </c>
      <c r="G31" s="184">
        <f>ROUND(U13,2)</f>
        <v>1.79</v>
      </c>
      <c r="H31" s="184">
        <f>ROUND(S13,2)</f>
        <v>0.73</v>
      </c>
      <c r="I31" s="184">
        <f>ROUND(T13,2)</f>
        <v>2.52</v>
      </c>
      <c r="J31" s="239">
        <f>J21/(SUM(Q_monthly_by_region!$AA$2:$AA$6)/10000)*1000</f>
        <v>0.8179962337898433</v>
      </c>
      <c r="K31" s="179">
        <f>K21/(SUM(Q_monthly_by_region!$AA$2:$AA$6)/10000)*1000</f>
        <v>1.5486882238608177</v>
      </c>
      <c r="L31" s="238">
        <f>L21/(SUM(Q_monthly_by_region!$AA$2:$AA$6)/10000)*1000</f>
        <v>3.342706570268555</v>
      </c>
    </row>
  </sheetData>
  <mergeCells count="1">
    <mergeCell ref="C1:L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C1:V31"/>
  <sheetViews>
    <sheetView workbookViewId="0" topLeftCell="A11">
      <selection activeCell="H32" sqref="H32"/>
    </sheetView>
  </sheetViews>
  <sheetFormatPr defaultColWidth="9.140625" defaultRowHeight="12.75"/>
  <cols>
    <col min="3" max="3" width="35.7109375" style="0" customWidth="1"/>
    <col min="4" max="8" width="6.00390625" style="0" customWidth="1"/>
    <col min="10" max="10" width="12.28125" style="0" bestFit="1" customWidth="1"/>
  </cols>
  <sheetData>
    <row r="1" spans="3:14" ht="15">
      <c r="C1" s="273" t="s">
        <v>739</v>
      </c>
      <c r="D1" s="274"/>
      <c r="E1" s="274"/>
      <c r="F1" s="274"/>
      <c r="G1" s="274"/>
      <c r="H1" s="274"/>
      <c r="N1" s="189" t="s">
        <v>760</v>
      </c>
    </row>
    <row r="2" spans="3:8" ht="24.75" customHeight="1" thickBot="1">
      <c r="C2" s="275"/>
      <c r="D2" s="275"/>
      <c r="E2" s="275"/>
      <c r="F2" s="275"/>
      <c r="G2" s="275"/>
      <c r="H2" s="275"/>
    </row>
    <row r="3" spans="3:15" ht="12.75">
      <c r="C3" s="167" t="s">
        <v>740</v>
      </c>
      <c r="D3" s="168"/>
      <c r="E3" s="168"/>
      <c r="F3" s="168"/>
      <c r="G3" s="168"/>
      <c r="H3" s="169"/>
      <c r="N3">
        <v>421</v>
      </c>
      <c r="O3">
        <v>162</v>
      </c>
    </row>
    <row r="4" spans="3:15" ht="12.75">
      <c r="C4" s="170"/>
      <c r="D4" s="65" t="s">
        <v>142</v>
      </c>
      <c r="E4" s="65" t="s">
        <v>789</v>
      </c>
      <c r="F4" s="65" t="s">
        <v>791</v>
      </c>
      <c r="G4" s="65" t="s">
        <v>165</v>
      </c>
      <c r="H4" s="171" t="s">
        <v>148</v>
      </c>
      <c r="N4">
        <v>56</v>
      </c>
      <c r="O4">
        <v>30</v>
      </c>
    </row>
    <row r="5" spans="3:15" ht="12.75">
      <c r="C5" s="172" t="s">
        <v>732</v>
      </c>
      <c r="D5" s="173">
        <f>Flow_weighted!AA2</f>
        <v>835.5441745037962</v>
      </c>
      <c r="E5" s="173">
        <f>Flow_weighted!AA47</f>
        <v>396.19944488224746</v>
      </c>
      <c r="F5" s="173">
        <f>D5+E5</f>
        <v>1231.7436193860435</v>
      </c>
      <c r="G5" s="174">
        <f>Flow_weighted!AA32</f>
        <v>0.7039438926542745</v>
      </c>
      <c r="H5" s="175">
        <f>TRUNC(Flow_weighted!AA37,0)</f>
        <v>2927</v>
      </c>
      <c r="J5">
        <f>E5/F5</f>
        <v>0.3216573957815435</v>
      </c>
      <c r="N5">
        <v>28</v>
      </c>
      <c r="O5">
        <v>15</v>
      </c>
    </row>
    <row r="6" spans="3:15" ht="12.75">
      <c r="C6" s="172" t="s">
        <v>733</v>
      </c>
      <c r="D6" s="173">
        <f>Flow_weighted!AA3</f>
        <v>473.06315613602385</v>
      </c>
      <c r="E6" s="173">
        <f>Flow_weighted!AA48</f>
        <v>870.8039028566676</v>
      </c>
      <c r="F6" s="173">
        <f>D6+E6</f>
        <v>1343.8670589926915</v>
      </c>
      <c r="G6" s="174">
        <f>Flow_weighted!AA33</f>
        <v>15.463350092627032</v>
      </c>
      <c r="H6" s="175">
        <f>TRUNC(Flow_weighted!AA38,0)</f>
        <v>5842</v>
      </c>
      <c r="J6">
        <f>E6/F6</f>
        <v>0.6479836655192569</v>
      </c>
      <c r="N6">
        <v>30</v>
      </c>
      <c r="O6">
        <v>11</v>
      </c>
    </row>
    <row r="7" spans="3:10" ht="12.75">
      <c r="C7" s="172" t="s">
        <v>734</v>
      </c>
      <c r="D7" s="173">
        <f>Flow_weighted!AA4</f>
        <v>2179.936448177273</v>
      </c>
      <c r="E7" s="173">
        <f>Flow_weighted!AA49</f>
        <v>354.67568522178834</v>
      </c>
      <c r="F7" s="173">
        <f>D7+E7</f>
        <v>2534.6121333990613</v>
      </c>
      <c r="G7" s="174">
        <f>Flow_weighted!AA34</f>
        <v>9.376671609876047</v>
      </c>
      <c r="H7" s="175">
        <f>TRUNC(Flow_weighted!AA39,0)</f>
        <v>6296</v>
      </c>
      <c r="J7">
        <f>E7/F7</f>
        <v>0.13993292328564202</v>
      </c>
    </row>
    <row r="8" spans="3:15" ht="12.75">
      <c r="C8" s="172" t="s">
        <v>735</v>
      </c>
      <c r="D8" s="173">
        <f>Flow_weighted!AA5</f>
        <v>2352.3260493965063</v>
      </c>
      <c r="E8" s="173">
        <f>Flow_weighted!AA50</f>
        <v>387.95300990616187</v>
      </c>
      <c r="F8" s="173">
        <f>D8+E8</f>
        <v>2740.279059302668</v>
      </c>
      <c r="G8" s="174">
        <f>Flow_weighted!AA35</f>
        <v>9.47213002536055</v>
      </c>
      <c r="H8" s="175">
        <f>TRUNC(Flow_weighted!AA40,0)</f>
        <v>6457</v>
      </c>
      <c r="J8">
        <f>E8/F8</f>
        <v>0.14157427090833813</v>
      </c>
      <c r="N8">
        <f>SUM(N3:N5)</f>
        <v>505</v>
      </c>
      <c r="O8">
        <f>SUM(O3:O5)</f>
        <v>207</v>
      </c>
    </row>
    <row r="9" spans="3:10" ht="12.75">
      <c r="C9" s="172" t="s">
        <v>736</v>
      </c>
      <c r="D9" s="173">
        <f>Flow_weighted!AA6</f>
        <v>869.419836229583</v>
      </c>
      <c r="E9" s="173">
        <f>Flow_weighted!AA51</f>
        <v>310.23332257099463</v>
      </c>
      <c r="F9" s="173">
        <f>D9+E9</f>
        <v>1179.6531588005776</v>
      </c>
      <c r="G9" s="174">
        <f>Flow_weighted!AA36</f>
        <v>2.1330239184254927</v>
      </c>
      <c r="H9" s="175">
        <f>TRUNC(Flow_weighted!AA41,0)</f>
        <v>3842</v>
      </c>
      <c r="J9">
        <f>E9/F9</f>
        <v>0.2629868959842629</v>
      </c>
    </row>
    <row r="10" spans="3:12" ht="12.75">
      <c r="C10" s="170"/>
      <c r="D10" s="174"/>
      <c r="E10" s="174"/>
      <c r="F10" s="174"/>
      <c r="G10" s="174"/>
      <c r="H10" s="176"/>
      <c r="L10">
        <f>0.4*3.28*12</f>
        <v>15.744</v>
      </c>
    </row>
    <row r="11" spans="3:8" s="24" customFormat="1" ht="27" thickBot="1">
      <c r="C11" s="177" t="s">
        <v>737</v>
      </c>
      <c r="D11" s="178">
        <f>SUMPRODUCT(D5:D9,Q_monthly_by_region!$AC$2:$AC$6)/SUM(Q_monthly_by_region!$AC$2:$AC$6)</f>
        <v>1015.5270679725259</v>
      </c>
      <c r="E11" s="178">
        <f>SUMPRODUCT(E5:E9,Q_monthly_by_region!$AC$2:$AC$6)/SUM(Q_monthly_by_region!$AC$2:$AC$6)</f>
        <v>496.12588192043364</v>
      </c>
      <c r="F11" s="178">
        <f>SUMPRODUCT(F5:F9,Q_monthly_by_region!$AC$2:$AC$6)/SUM(Q_monthly_by_region!$AC$2:$AC$6)</f>
        <v>1511.6529498929594</v>
      </c>
      <c r="G11" s="179">
        <f>SUMPRODUCT(G5:G9,Q_monthly_by_region!$AC$2:$AC$6)/SUM(Q_monthly_by_region!$AC$2:$AC$6)</f>
        <v>7.201112578315308</v>
      </c>
      <c r="H11" s="180">
        <f>SUMPRODUCT(H5:H9,Q_monthly_by_region!$AC$2:$AC$6)/SUM(Q_monthly_by_region!$AC$2:$AC$6)</f>
        <v>4783.253967084781</v>
      </c>
    </row>
    <row r="12" spans="4:8" ht="13.5" thickBot="1">
      <c r="D12" s="7"/>
      <c r="E12" s="7"/>
      <c r="F12" s="7"/>
      <c r="G12" s="7"/>
      <c r="H12" s="7"/>
    </row>
    <row r="13" spans="3:22" ht="12.75">
      <c r="C13" s="167" t="s">
        <v>741</v>
      </c>
      <c r="D13" s="168"/>
      <c r="E13" s="168"/>
      <c r="F13" s="168"/>
      <c r="G13" s="168"/>
      <c r="H13" s="169"/>
      <c r="N13">
        <f>SUMPRODUCT(D25:D29,Q_monthly_by_region!$AA$2:$AA$6)/SUM(Q_monthly_by_region!$AA$2:$AA$6)</f>
        <v>16.90885983588467</v>
      </c>
      <c r="O13">
        <f>SUMPRODUCT(F25:F29,Q_monthly_by_region!$AA$2:$AA$6)/SUM(Q_monthly_by_region!$AA$2:$AA$6)</f>
        <v>25.212117200533118</v>
      </c>
      <c r="P13">
        <f>SUMPRODUCT(E25:E29,Q_monthly_by_region!$AA$2:$AA$6)/SUM(Q_monthly_by_region!$AA$2:$AA$6)</f>
        <v>8.303257364648449</v>
      </c>
      <c r="Q13" t="e">
        <f>SUMPRODUCT(#REF!,Q_monthly_by_region!$AA$2:$AA$6)/SUM(Q_monthly_by_region!$AA$2:$AA$6)</f>
        <v>#REF!</v>
      </c>
      <c r="R13" t="e">
        <f>SUMPRODUCT(#REF!,Q_monthly_by_region!$AA$2:$AA$6)/SUM(Q_monthly_by_region!$AA$2:$AA$6)</f>
        <v>#REF!</v>
      </c>
      <c r="S13" t="e">
        <f>SUMPRODUCT(#REF!,Q_monthly_by_region!$AA$2:$AA$6)/SUM(Q_monthly_by_region!$AA$2:$AA$6)</f>
        <v>#REF!</v>
      </c>
      <c r="T13" t="e">
        <f>SUMPRODUCT(#REF!,Q_monthly_by_region!$AA$2:$AA$6)/SUM(Q_monthly_by_region!$AA$2:$AA$6)</f>
        <v>#REF!</v>
      </c>
      <c r="U13">
        <f>SUMPRODUCT(G25:G29,Q_monthly_by_region!$AA$2:$AA$6)/SUM(Q_monthly_by_region!$AA$2:$AA$6)</f>
        <v>0.11984531574720989</v>
      </c>
      <c r="V13">
        <f>SUMPRODUCT(H25:H29,Q_monthly_by_region!$AA$2:$AA$6)/SUM(Q_monthly_by_region!$AA$2:$AA$6)</f>
        <v>79.6514512769831</v>
      </c>
    </row>
    <row r="14" spans="3:22" ht="12.75">
      <c r="C14" s="170"/>
      <c r="D14" s="65" t="s">
        <v>142</v>
      </c>
      <c r="E14" s="65" t="s">
        <v>789</v>
      </c>
      <c r="F14" s="65" t="s">
        <v>791</v>
      </c>
      <c r="G14" s="65" t="s">
        <v>165</v>
      </c>
      <c r="H14" s="171" t="s">
        <v>148</v>
      </c>
      <c r="N14" s="7">
        <f>SUM(D15:D19)</f>
        <v>4681.21784556467</v>
      </c>
      <c r="O14" s="7">
        <f>SUM(F15:F19)</f>
        <v>6979.974646967592</v>
      </c>
      <c r="P14" s="7">
        <f>SUM(E15:E19)</f>
        <v>2298.756801402922</v>
      </c>
      <c r="Q14" s="7" t="e">
        <f>SUM(#REF!)</f>
        <v>#REF!</v>
      </c>
      <c r="R14" s="7" t="e">
        <f>SUM(#REF!)</f>
        <v>#REF!</v>
      </c>
      <c r="S14" s="7" t="e">
        <f>SUM(#REF!)</f>
        <v>#REF!</v>
      </c>
      <c r="T14" s="7" t="e">
        <f>SUM(#REF!)</f>
        <v>#REF!</v>
      </c>
      <c r="U14" s="7">
        <f>SUM(G15:G19)</f>
        <v>33.17917566461504</v>
      </c>
      <c r="V14" s="7">
        <f>SUM(H15:H19)</f>
        <v>22051.50428603276</v>
      </c>
    </row>
    <row r="15" spans="3:12" ht="12.75">
      <c r="C15" s="172" t="s">
        <v>732</v>
      </c>
      <c r="D15" s="173">
        <f>Loads!AD3</f>
        <v>514.0841196869718</v>
      </c>
      <c r="E15" s="173">
        <f>Loads!AD48</f>
        <v>244.40467432613792</v>
      </c>
      <c r="F15" s="173">
        <f>E15+D15</f>
        <v>758.4887940131098</v>
      </c>
      <c r="G15" s="181">
        <f>Loads!AD33</f>
        <v>0.43359923287442637</v>
      </c>
      <c r="H15" s="175">
        <f>Loads!AD38</f>
        <v>1802.5566136847465</v>
      </c>
      <c r="L15" s="164">
        <f>(H16+H19+H15)/H21</f>
        <v>0.7476794179874061</v>
      </c>
    </row>
    <row r="16" spans="3:8" ht="12.75">
      <c r="C16" s="172" t="s">
        <v>733</v>
      </c>
      <c r="D16" s="173">
        <f>Loads!AD4</f>
        <v>635.3033790275055</v>
      </c>
      <c r="E16" s="173">
        <f>Loads!AD49</f>
        <v>1175.522582165747</v>
      </c>
      <c r="F16" s="173">
        <f>E16+D16</f>
        <v>1810.8259611932526</v>
      </c>
      <c r="G16" s="174">
        <f>Loads!AD34</f>
        <v>20.745171258855994</v>
      </c>
      <c r="H16" s="175">
        <f>Loads!AD39</f>
        <v>7838.304831841115</v>
      </c>
    </row>
    <row r="17" spans="3:8" ht="12.75">
      <c r="C17" s="172" t="s">
        <v>734</v>
      </c>
      <c r="D17" s="173">
        <f>Loads!AD5</f>
        <v>944.6880400973113</v>
      </c>
      <c r="E17" s="173">
        <f>Loads!AD50</f>
        <v>153.17446061003156</v>
      </c>
      <c r="F17" s="173">
        <f>E17+D17</f>
        <v>1097.8625007073429</v>
      </c>
      <c r="G17" s="181">
        <f>Loads!AD35</f>
        <v>4.048827732656472</v>
      </c>
      <c r="H17" s="175">
        <f>Loads!AD40</f>
        <v>2720.27875718152</v>
      </c>
    </row>
    <row r="18" spans="3:8" ht="12.75">
      <c r="C18" s="172" t="s">
        <v>735</v>
      </c>
      <c r="D18" s="173">
        <f>Loads!AD6</f>
        <v>1038.0322970152797</v>
      </c>
      <c r="E18" s="173">
        <f>Loads!AD51</f>
        <v>170.66736880882263</v>
      </c>
      <c r="F18" s="173">
        <f>E18+D18</f>
        <v>1208.6996658241023</v>
      </c>
      <c r="G18" s="181">
        <f>Loads!AD36</f>
        <v>4.141221326791714</v>
      </c>
      <c r="H18" s="175">
        <f>Loads!AD41</f>
        <v>2844.894362228935</v>
      </c>
    </row>
    <row r="19" spans="3:11" ht="12.75">
      <c r="C19" s="172" t="s">
        <v>736</v>
      </c>
      <c r="D19" s="173">
        <f>Loads!AD7</f>
        <v>1549.110009737601</v>
      </c>
      <c r="E19" s="173">
        <f>Loads!AD52</f>
        <v>554.9877154921833</v>
      </c>
      <c r="F19" s="173">
        <f>E19+D19</f>
        <v>2104.0977252297844</v>
      </c>
      <c r="G19" s="181">
        <f>Loads!AD37</f>
        <v>3.8103561134364363</v>
      </c>
      <c r="H19" s="175">
        <f>Loads!AD42</f>
        <v>6845.469721096444</v>
      </c>
      <c r="K19">
        <f>G15/$G$21*100</f>
        <v>1.3068090201158118</v>
      </c>
    </row>
    <row r="20" spans="3:11" ht="12.75">
      <c r="C20" s="170"/>
      <c r="D20" s="173"/>
      <c r="E20" s="173"/>
      <c r="F20" s="173"/>
      <c r="G20" s="174"/>
      <c r="H20" s="175"/>
      <c r="K20">
        <f>G16/$G$21*100</f>
        <v>62.52312012916212</v>
      </c>
    </row>
    <row r="21" spans="3:11" s="24" customFormat="1" ht="13.5" thickBot="1">
      <c r="C21" s="177" t="s">
        <v>731</v>
      </c>
      <c r="D21" s="178">
        <f>ROUND(N14,4-LEN(INT(N14)))</f>
        <v>4681</v>
      </c>
      <c r="E21" s="178">
        <f>SUM(E15:E19)</f>
        <v>2298.756801402922</v>
      </c>
      <c r="F21" s="178">
        <f>SUM(F15:F19)</f>
        <v>6979.974646967592</v>
      </c>
      <c r="G21" s="179">
        <f>ROUND(U14,4-LEN(INT(U14)))</f>
        <v>33.18</v>
      </c>
      <c r="H21" s="180">
        <f>ROUND(V14,4-LEN(INT(V14)))</f>
        <v>22050</v>
      </c>
      <c r="K21">
        <f>G17/$G$21*100</f>
        <v>12.2026152280183</v>
      </c>
    </row>
    <row r="22" spans="4:11" ht="13.5" thickBot="1">
      <c r="D22" s="7"/>
      <c r="E22" s="7"/>
      <c r="F22" s="7"/>
      <c r="G22" s="7"/>
      <c r="H22" s="7"/>
      <c r="K22">
        <f>G18/$G$21*100</f>
        <v>12.4810769342728</v>
      </c>
    </row>
    <row r="23" spans="3:11" ht="12.75">
      <c r="C23" s="167" t="s">
        <v>742</v>
      </c>
      <c r="D23" s="168"/>
      <c r="E23" s="168"/>
      <c r="F23" s="168"/>
      <c r="G23" s="168"/>
      <c r="H23" s="169"/>
      <c r="K23">
        <f>G19/$G$21*100</f>
        <v>11.483894253877144</v>
      </c>
    </row>
    <row r="24" spans="3:11" ht="12.75">
      <c r="C24" s="182"/>
      <c r="D24" s="65" t="s">
        <v>142</v>
      </c>
      <c r="E24" s="65" t="s">
        <v>789</v>
      </c>
      <c r="F24" s="65" t="s">
        <v>791</v>
      </c>
      <c r="G24" s="65" t="s">
        <v>165</v>
      </c>
      <c r="H24" s="171" t="s">
        <v>148</v>
      </c>
      <c r="K24" s="6">
        <f>G17+G18</f>
        <v>8.190049059448185</v>
      </c>
    </row>
    <row r="25" spans="3:8" ht="12.75">
      <c r="C25" s="170" t="s">
        <v>732</v>
      </c>
      <c r="D25" s="174">
        <f>Loads!AL3</f>
        <v>20.27777263765021</v>
      </c>
      <c r="E25" s="174">
        <f>Loads!AL48</f>
        <v>9.640411418625595</v>
      </c>
      <c r="F25" s="174">
        <f>Loads!AL58</f>
        <v>29.91818405627576</v>
      </c>
      <c r="G25" s="181">
        <f>Loads!AL33</f>
        <v>0.017103089403813745</v>
      </c>
      <c r="H25" s="176">
        <f>Loads!AL38</f>
        <v>71.10087975689378</v>
      </c>
    </row>
    <row r="26" spans="3:8" ht="12.75">
      <c r="C26" s="170" t="s">
        <v>733</v>
      </c>
      <c r="D26" s="174">
        <f>Loads!AL4</f>
        <v>18.980856491207177</v>
      </c>
      <c r="E26" s="174">
        <f>Loads!AL49</f>
        <v>35.120898409852984</v>
      </c>
      <c r="F26" s="174">
        <f>Loads!AL59</f>
        <v>54.10175490106019</v>
      </c>
      <c r="G26" s="181">
        <f>Loads!AL34</f>
        <v>0.6198001325801441</v>
      </c>
      <c r="H26" s="176">
        <f>Loads!AL39</f>
        <v>234.18376803733432</v>
      </c>
    </row>
    <row r="27" spans="3:8" ht="12.75">
      <c r="C27" s="170" t="s">
        <v>734</v>
      </c>
      <c r="D27" s="174">
        <f>Loads!AL5</f>
        <v>16.35036676265218</v>
      </c>
      <c r="E27" s="174">
        <f>Loads!AL50</f>
        <v>2.6510959209216347</v>
      </c>
      <c r="F27" s="174">
        <f>Loads!AL60</f>
        <v>19.001462683573827</v>
      </c>
      <c r="G27" s="181">
        <f>Loads!AL35</f>
        <v>0.07007585105122278</v>
      </c>
      <c r="H27" s="176">
        <f>Loads!AL40</f>
        <v>47.08173861499075</v>
      </c>
    </row>
    <row r="28" spans="3:8" ht="12.75">
      <c r="C28" s="170" t="s">
        <v>735</v>
      </c>
      <c r="D28" s="174">
        <f>Loads!AL6</f>
        <v>16.808788946104315</v>
      </c>
      <c r="E28" s="174">
        <f>Loads!AL51</f>
        <v>2.7636055164593967</v>
      </c>
      <c r="F28" s="174">
        <f>Loads!AL61</f>
        <v>19.57239446256372</v>
      </c>
      <c r="G28" s="181">
        <f>Loads!AL36</f>
        <v>0.06705852550185476</v>
      </c>
      <c r="H28" s="176">
        <f>Loads!AL41</f>
        <v>46.06718793448515</v>
      </c>
    </row>
    <row r="29" spans="3:8" ht="12.75">
      <c r="C29" s="170" t="s">
        <v>736</v>
      </c>
      <c r="D29" s="174">
        <f>Loads!AL7</f>
        <v>15.727957120770217</v>
      </c>
      <c r="E29" s="174">
        <f>Loads!AL52</f>
        <v>5.6347340969630855</v>
      </c>
      <c r="F29" s="174">
        <f>Loads!AL62</f>
        <v>21.3626912177333</v>
      </c>
      <c r="G29" s="181">
        <f>Loads!AL37</f>
        <v>0.03868615991781251</v>
      </c>
      <c r="H29" s="176">
        <f>Loads!AL42</f>
        <v>69.50136114811679</v>
      </c>
    </row>
    <row r="30" spans="3:8" ht="12.75">
      <c r="C30" s="170"/>
      <c r="D30" s="46"/>
      <c r="E30" s="46"/>
      <c r="F30" s="46"/>
      <c r="G30" s="46"/>
      <c r="H30" s="183"/>
    </row>
    <row r="31" spans="3:8" s="24" customFormat="1" ht="13.5" thickBot="1">
      <c r="C31" s="177" t="s">
        <v>738</v>
      </c>
      <c r="D31" s="179">
        <f>D21/(SUM(Q_monthly_by_region!$AA$2:$AA$6)/10000)*1000</f>
        <v>16.90807296369876</v>
      </c>
      <c r="E31" s="179">
        <f>E21/(SUM(Q_monthly_by_region!$AA$2:$AA$6)/10000)*1000</f>
        <v>8.303257364648449</v>
      </c>
      <c r="F31" s="179">
        <f>F21/(SUM(Q_monthly_by_region!$AA$2:$AA$6)/10000)*1000</f>
        <v>25.212117200533125</v>
      </c>
      <c r="G31" s="184">
        <f>ROUND(U13,2)</f>
        <v>0.12</v>
      </c>
      <c r="H31" s="185">
        <f>ROUND(V13,1)</f>
        <v>79.7</v>
      </c>
    </row>
  </sheetData>
  <mergeCells count="1">
    <mergeCell ref="C1:H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I218"/>
  <sheetViews>
    <sheetView tabSelected="1" workbookViewId="0" topLeftCell="A1">
      <pane xSplit="4200" ySplit="528" topLeftCell="A1" activePane="bottomRight" state="split"/>
      <selection pane="topLeft" activeCell="B10" sqref="B1:B10"/>
      <selection pane="topRight" activeCell="F1" sqref="F1"/>
      <selection pane="bottomLeft" activeCell="B16" sqref="B16"/>
      <selection pane="bottomRight" activeCell="A13" sqref="A13"/>
    </sheetView>
  </sheetViews>
  <sheetFormatPr defaultColWidth="9.140625" defaultRowHeight="12.75"/>
  <cols>
    <col min="2" max="2" width="19.00390625" style="0" customWidth="1"/>
    <col min="3" max="26" width="12.57421875" style="0" customWidth="1"/>
    <col min="27" max="27" width="8.8515625" style="1" customWidth="1"/>
    <col min="28" max="28" width="10.57421875" style="0" bestFit="1" customWidth="1"/>
    <col min="29" max="29" width="20.421875" style="0" customWidth="1"/>
    <col min="30" max="30" width="14.7109375" style="11" customWidth="1"/>
    <col min="31" max="46" width="9.57421875" style="11" customWidth="1"/>
    <col min="47" max="47" width="9.00390625" style="11" customWidth="1"/>
    <col min="48" max="53" width="9.57421875" style="11" customWidth="1"/>
    <col min="54" max="56" width="8.8515625" style="11" customWidth="1"/>
    <col min="57" max="57" width="35.421875" style="11" customWidth="1"/>
    <col min="58" max="59" width="25.00390625" style="11" customWidth="1"/>
    <col min="60" max="60" width="23.57421875" style="11" customWidth="1"/>
    <col min="61" max="63" width="8.8515625" style="11" customWidth="1"/>
  </cols>
  <sheetData>
    <row r="1" spans="1:56" ht="13.5" thickBot="1">
      <c r="A1" s="1" t="s">
        <v>249</v>
      </c>
      <c r="B1" s="1" t="s">
        <v>250</v>
      </c>
      <c r="C1" t="s">
        <v>219</v>
      </c>
      <c r="D1" t="s">
        <v>220</v>
      </c>
      <c r="E1" t="s">
        <v>221</v>
      </c>
      <c r="F1" t="s">
        <v>222</v>
      </c>
      <c r="G1" t="s">
        <v>223</v>
      </c>
      <c r="H1" t="s">
        <v>224</v>
      </c>
      <c r="I1" t="s">
        <v>225</v>
      </c>
      <c r="J1" t="s">
        <v>226</v>
      </c>
      <c r="K1" t="s">
        <v>227</v>
      </c>
      <c r="L1" t="s">
        <v>228</v>
      </c>
      <c r="M1" t="s">
        <v>229</v>
      </c>
      <c r="N1" t="s">
        <v>230</v>
      </c>
      <c r="O1" t="s">
        <v>219</v>
      </c>
      <c r="P1" t="s">
        <v>220</v>
      </c>
      <c r="Q1" t="s">
        <v>221</v>
      </c>
      <c r="R1" t="s">
        <v>222</v>
      </c>
      <c r="S1" t="s">
        <v>223</v>
      </c>
      <c r="T1" t="s">
        <v>224</v>
      </c>
      <c r="U1" t="s">
        <v>225</v>
      </c>
      <c r="V1" t="s">
        <v>226</v>
      </c>
      <c r="W1" t="s">
        <v>227</v>
      </c>
      <c r="X1" t="s">
        <v>228</v>
      </c>
      <c r="Y1" t="s">
        <v>229</v>
      </c>
      <c r="Z1" t="s">
        <v>230</v>
      </c>
      <c r="AA1" s="1" t="s">
        <v>163</v>
      </c>
      <c r="AB1" s="1"/>
      <c r="AC1" s="1"/>
      <c r="AD1" s="10" t="s">
        <v>219</v>
      </c>
      <c r="AE1" s="10" t="s">
        <v>220</v>
      </c>
      <c r="AF1" s="10" t="s">
        <v>221</v>
      </c>
      <c r="AG1" s="10" t="s">
        <v>222</v>
      </c>
      <c r="AH1" s="10" t="s">
        <v>223</v>
      </c>
      <c r="AI1" s="10" t="s">
        <v>224</v>
      </c>
      <c r="AJ1" s="10" t="s">
        <v>225</v>
      </c>
      <c r="AK1" s="10" t="s">
        <v>226</v>
      </c>
      <c r="AL1" s="10" t="s">
        <v>227</v>
      </c>
      <c r="AM1" s="10" t="s">
        <v>228</v>
      </c>
      <c r="AN1" s="10" t="s">
        <v>229</v>
      </c>
      <c r="AO1" s="10" t="s">
        <v>230</v>
      </c>
      <c r="AP1" s="10" t="s">
        <v>219</v>
      </c>
      <c r="AQ1" s="10" t="s">
        <v>220</v>
      </c>
      <c r="AR1" s="10" t="s">
        <v>221</v>
      </c>
      <c r="AS1" s="10" t="s">
        <v>222</v>
      </c>
      <c r="AT1" s="10" t="s">
        <v>223</v>
      </c>
      <c r="AU1" s="10" t="s">
        <v>224</v>
      </c>
      <c r="AV1" s="10" t="s">
        <v>225</v>
      </c>
      <c r="AW1" s="10" t="s">
        <v>226</v>
      </c>
      <c r="AX1" s="10" t="s">
        <v>227</v>
      </c>
      <c r="AY1" s="10" t="s">
        <v>228</v>
      </c>
      <c r="AZ1" s="10" t="s">
        <v>229</v>
      </c>
      <c r="BA1" s="10" t="s">
        <v>230</v>
      </c>
      <c r="BB1" s="10"/>
      <c r="BC1" s="10"/>
      <c r="BD1" s="10"/>
    </row>
    <row r="2" spans="1:85" ht="32.25" customHeight="1" thickBot="1" thickTop="1">
      <c r="A2" t="s">
        <v>150</v>
      </c>
      <c r="B2" t="s">
        <v>253</v>
      </c>
      <c r="C2" s="7">
        <v>750.816373635383</v>
      </c>
      <c r="D2" s="7">
        <v>733.138036366731</v>
      </c>
      <c r="E2" s="7">
        <v>773.155143742196</v>
      </c>
      <c r="F2" s="7">
        <v>582.797642032491</v>
      </c>
      <c r="G2" s="7">
        <v>786.111890782769</v>
      </c>
      <c r="H2" s="7">
        <v>884.664444079378</v>
      </c>
      <c r="I2" s="7">
        <v>1028.71949835867</v>
      </c>
      <c r="J2" s="7">
        <v>916.030418243771</v>
      </c>
      <c r="K2" s="7">
        <v>849.089048207548</v>
      </c>
      <c r="L2" s="7">
        <v>908.403066230245</v>
      </c>
      <c r="M2" s="7">
        <v>738.582907781637</v>
      </c>
      <c r="N2" s="7">
        <v>1394.5482548091</v>
      </c>
      <c r="O2" s="7">
        <v>701.197978452825</v>
      </c>
      <c r="P2" s="7">
        <v>700.018427122419</v>
      </c>
      <c r="Q2" s="7">
        <v>758.655896626278</v>
      </c>
      <c r="R2" s="7">
        <v>850.341934716987</v>
      </c>
      <c r="S2" s="7">
        <v>931.371433202468</v>
      </c>
      <c r="T2" s="7">
        <v>2178.89229783211</v>
      </c>
      <c r="U2" s="7">
        <v>843.721767285035</v>
      </c>
      <c r="V2" s="7">
        <v>759.045937223725</v>
      </c>
      <c r="W2" s="7">
        <v>737.278994896075</v>
      </c>
      <c r="X2" s="7">
        <v>669.847249865368</v>
      </c>
      <c r="Y2" s="7">
        <v>750.036491826229</v>
      </c>
      <c r="Z2" s="7">
        <v>684.071056892787</v>
      </c>
      <c r="AA2" s="15">
        <f>SUMPRODUCT(C2:Z2,Q_monthly_by_region!B2:Y2)/SUM(Q_monthly_by_region!B2:Y2)</f>
        <v>835.5441745037962</v>
      </c>
      <c r="AB2" s="3"/>
      <c r="AD2" s="10" t="s">
        <v>243</v>
      </c>
      <c r="BE2" s="191"/>
      <c r="BF2" s="192" t="str">
        <f>D213</f>
        <v>TDN correlation (r) with monthly mean streamflow</v>
      </c>
      <c r="BG2" s="192"/>
      <c r="BH2" s="193" t="str">
        <f>E213</f>
        <v>NO3 correlation (r) with monthly mean streamflow</v>
      </c>
      <c r="BK2" s="11" t="s">
        <v>219</v>
      </c>
      <c r="BL2" s="235" t="s">
        <v>220</v>
      </c>
      <c r="BM2" s="11" t="s">
        <v>221</v>
      </c>
      <c r="BN2" s="235" t="s">
        <v>222</v>
      </c>
      <c r="BO2" s="11" t="s">
        <v>223</v>
      </c>
      <c r="BP2" s="235" t="s">
        <v>224</v>
      </c>
      <c r="BQ2" s="11" t="s">
        <v>225</v>
      </c>
      <c r="BR2" s="235" t="s">
        <v>226</v>
      </c>
      <c r="BS2" s="11" t="s">
        <v>227</v>
      </c>
      <c r="BT2" s="235" t="s">
        <v>228</v>
      </c>
      <c r="BU2" s="11" t="s">
        <v>229</v>
      </c>
      <c r="BV2" s="235" t="s">
        <v>230</v>
      </c>
      <c r="BW2" s="11" t="s">
        <v>219</v>
      </c>
      <c r="BY2" s="11"/>
      <c r="CA2" s="11"/>
      <c r="CC2" s="11"/>
      <c r="CE2" s="11"/>
      <c r="CG2" s="11"/>
    </row>
    <row r="3" spans="1:87" ht="12.75">
      <c r="A3" t="s">
        <v>150</v>
      </c>
      <c r="B3" t="s">
        <v>149</v>
      </c>
      <c r="C3" s="7">
        <v>404.770279988556</v>
      </c>
      <c r="D3" s="7">
        <v>329.087537273087</v>
      </c>
      <c r="E3" s="7">
        <v>521.382629693859</v>
      </c>
      <c r="F3" s="7">
        <v>489.301757135127</v>
      </c>
      <c r="G3" s="7">
        <v>464.089662134445</v>
      </c>
      <c r="H3" s="7">
        <v>460.978576852166</v>
      </c>
      <c r="I3" s="7">
        <v>397.530602016354</v>
      </c>
      <c r="J3" s="7">
        <v>392.52673187003</v>
      </c>
      <c r="K3" s="7">
        <v>371.362348067031</v>
      </c>
      <c r="L3" s="7">
        <v>515.99708828754</v>
      </c>
      <c r="M3" s="7">
        <v>496.855760754929</v>
      </c>
      <c r="N3" s="7">
        <v>443.326871793666</v>
      </c>
      <c r="O3" s="7">
        <v>402.484925790284</v>
      </c>
      <c r="P3" s="7">
        <v>372.692038585768</v>
      </c>
      <c r="Q3" s="7">
        <v>556.091549503332</v>
      </c>
      <c r="R3" s="7">
        <v>348.568790002147</v>
      </c>
      <c r="S3" s="7">
        <v>548.195153028662</v>
      </c>
      <c r="T3" s="7">
        <v>391.679505392564</v>
      </c>
      <c r="U3" s="7">
        <v>384.707034209375</v>
      </c>
      <c r="V3" s="7">
        <v>570.189063368094</v>
      </c>
      <c r="W3" s="7">
        <v>405.439405146367</v>
      </c>
      <c r="X3" s="7">
        <v>337.02736805752</v>
      </c>
      <c r="Y3" s="7">
        <v>813.875402170274</v>
      </c>
      <c r="Z3" s="7">
        <v>281.787120525286</v>
      </c>
      <c r="AA3" s="15">
        <f>SUMPRODUCT(C3:Z3,Q_monthly_by_region!B3:Y3)/SUM(Q_monthly_by_region!B3:Y3)</f>
        <v>473.06315613602385</v>
      </c>
      <c r="AB3" s="3" t="str">
        <f>CONCATENATE("'",AC3,"',")</f>
        <v>'DOC',</v>
      </c>
      <c r="AC3" s="3" t="s">
        <v>142</v>
      </c>
      <c r="AD3" s="10">
        <f>SUMPRODUCT(C2:C6,Q_monthly_by_region!B2:B6)/SUM(Q_monthly_by_region!B2:B6)</f>
        <v>1093.5439598376602</v>
      </c>
      <c r="AE3" s="10">
        <f>SUMPRODUCT(D2:D6,Q_monthly_by_region!C2:C6)/SUM(Q_monthly_by_region!C2:C6)</f>
        <v>742.3939439726994</v>
      </c>
      <c r="AF3" s="10">
        <f>SUMPRODUCT(E2:E6,Q_monthly_by_region!D2:D6)/SUM(Q_monthly_by_region!D2:D6)</f>
        <v>1113.1323602813811</v>
      </c>
      <c r="AG3" s="10">
        <f>SUMPRODUCT(F2:F6,Q_monthly_by_region!E2:E6)/SUM(Q_monthly_by_region!E2:E6)</f>
        <v>1127.2870238498474</v>
      </c>
      <c r="AH3" s="10">
        <f>SUMPRODUCT(G2:G6,Q_monthly_by_region!F2:F6)/SUM(Q_monthly_by_region!F2:F6)</f>
        <v>900.5671664047632</v>
      </c>
      <c r="AI3" s="10">
        <f>SUMPRODUCT(H2:H6,Q_monthly_by_region!G2:G6)/SUM(Q_monthly_by_region!G2:G6)</f>
        <v>898.5525001282455</v>
      </c>
      <c r="AJ3" s="10">
        <f>SUMPRODUCT(I2:I6,Q_monthly_by_region!H2:H6)/SUM(Q_monthly_by_region!H2:H6)</f>
        <v>682.1774997564108</v>
      </c>
      <c r="AK3" s="10">
        <f>SUMPRODUCT(J2:J6,Q_monthly_by_region!I2:I6)/SUM(Q_monthly_by_region!I2:I6)</f>
        <v>614.4242402155757</v>
      </c>
      <c r="AL3" s="10">
        <f>SUMPRODUCT(K2:K6,Q_monthly_by_region!J2:J6)/SUM(Q_monthly_by_region!J2:J6)</f>
        <v>716.1907460329717</v>
      </c>
      <c r="AM3" s="10">
        <f>SUMPRODUCT(L2:L6,Q_monthly_by_region!K2:K6)/SUM(Q_monthly_by_region!K2:K6)</f>
        <v>791.4468724744617</v>
      </c>
      <c r="AN3" s="10">
        <f>SUMPRODUCT(M2:M6,Q_monthly_by_region!L2:L6)/SUM(Q_monthly_by_region!L2:L6)</f>
        <v>896.164092111144</v>
      </c>
      <c r="AO3" s="10">
        <f>SUMPRODUCT(N2:N6,Q_monthly_by_region!M2:M6)/SUM(Q_monthly_by_region!M2:M6)</f>
        <v>1445.938906976888</v>
      </c>
      <c r="AP3" s="10">
        <f>SUMPRODUCT(O2:O6,Q_monthly_by_region!N2:N6)/SUM(Q_monthly_by_region!N2:N6)</f>
        <v>815.856901295811</v>
      </c>
      <c r="AQ3" s="10">
        <f>SUMPRODUCT(P2:P6,Q_monthly_by_region!O2:O6)/SUM(Q_monthly_by_region!O2:O6)</f>
        <v>628.9412224978504</v>
      </c>
      <c r="AR3" s="10">
        <f>SUMPRODUCT(Q2:Q6,Q_monthly_by_region!P2:P6)/SUM(Q_monthly_by_region!P2:P6)</f>
        <v>935.1024796065562</v>
      </c>
      <c r="AS3" s="10">
        <f>SUMPRODUCT(R2:R6,Q_monthly_by_region!Q2:Q6)/SUM(Q_monthly_by_region!Q2:Q6)</f>
        <v>767.5595207496791</v>
      </c>
      <c r="AT3" s="10">
        <f>SUMPRODUCT(S2:S6,Q_monthly_by_region!R2:R6)/SUM(Q_monthly_by_region!R2:R6)</f>
        <v>808.1334517902354</v>
      </c>
      <c r="AU3" s="10">
        <f>SUMPRODUCT(T2:T6,Q_monthly_by_region!S2:S6)/SUM(Q_monthly_by_region!S2:S6)</f>
        <v>747.9211324365491</v>
      </c>
      <c r="AV3" s="10">
        <f>SUMPRODUCT(U2:U6,Q_monthly_by_region!T2:T6)/SUM(Q_monthly_by_region!T2:T6)</f>
        <v>545.0497348192941</v>
      </c>
      <c r="AW3" s="10">
        <f>SUMPRODUCT(V2:V6,Q_monthly_by_region!U2:U6)/SUM(Q_monthly_by_region!U2:U6)</f>
        <v>561.7451235683492</v>
      </c>
      <c r="AX3" s="10">
        <f>SUMPRODUCT(W2:W6,Q_monthly_by_region!V2:V6)/SUM(Q_monthly_by_region!V2:V6)</f>
        <v>592.1148604452782</v>
      </c>
      <c r="AY3" s="10">
        <f>SUMPRODUCT(X2:X6,Q_monthly_by_region!W2:W6)/SUM(Q_monthly_by_region!W2:W6)</f>
        <v>588.3815422129093</v>
      </c>
      <c r="AZ3" s="10">
        <f>SUMPRODUCT(Y2:Y6,Q_monthly_by_region!X2:X6)/SUM(Q_monthly_by_region!X2:X6)</f>
        <v>1381.822746342421</v>
      </c>
      <c r="BA3" s="10">
        <f>SUMPRODUCT(Z2:Z6,Q_monthly_by_region!Y2:Y6)/SUM(Q_monthly_by_region!Y2:Y6)</f>
        <v>1524.9980857125836</v>
      </c>
      <c r="BB3" s="10"/>
      <c r="BC3" s="10"/>
      <c r="BD3" s="10"/>
      <c r="BE3" s="194" t="str">
        <f>C214</f>
        <v>Diversion from N Fork Skokomish</v>
      </c>
      <c r="BF3" s="200" t="str">
        <f>CONCATENATE(ROUND(D214,2)," (p = ",ROUND(F214,2),")")</f>
        <v>0.41 (p = 0.05)</v>
      </c>
      <c r="BG3" s="265"/>
      <c r="BH3" s="201"/>
      <c r="BK3" s="13">
        <f>AD6</f>
        <v>132.5411002564347</v>
      </c>
      <c r="BL3" s="13">
        <f aca="true" t="shared" si="0" ref="BL3:CH3">AE6</f>
        <v>94.33409277151122</v>
      </c>
      <c r="BM3" s="13">
        <f t="shared" si="0"/>
        <v>150.21562445893866</v>
      </c>
      <c r="BN3" s="13">
        <f t="shared" si="0"/>
        <v>94.33453579782301</v>
      </c>
      <c r="BO3" s="13">
        <f t="shared" si="0"/>
        <v>63.4320923905892</v>
      </c>
      <c r="BP3" s="13">
        <f t="shared" si="0"/>
        <v>65.11776942510544</v>
      </c>
      <c r="BQ3" s="13">
        <f t="shared" si="0"/>
        <v>82.93723390898651</v>
      </c>
      <c r="BR3" s="13">
        <f t="shared" si="0"/>
        <v>58.6666704384108</v>
      </c>
      <c r="BS3" s="13">
        <f t="shared" si="0"/>
        <v>39.60768303864863</v>
      </c>
      <c r="BT3" s="13">
        <f t="shared" si="0"/>
        <v>50.5644352987856</v>
      </c>
      <c r="BU3" s="13">
        <f t="shared" si="0"/>
        <v>125.83807288423031</v>
      </c>
      <c r="BV3" s="13">
        <f t="shared" si="0"/>
        <v>145.24726514042456</v>
      </c>
      <c r="BW3" s="13">
        <f t="shared" si="0"/>
        <v>95.41132400626756</v>
      </c>
      <c r="BX3" s="13">
        <f t="shared" si="0"/>
        <v>86.95176515955404</v>
      </c>
      <c r="BY3" s="13">
        <f t="shared" si="0"/>
        <v>45.96596754035566</v>
      </c>
      <c r="BZ3" s="13">
        <f t="shared" si="0"/>
        <v>58.82874783835598</v>
      </c>
      <c r="CA3" s="13">
        <f t="shared" si="0"/>
        <v>50.006844195207954</v>
      </c>
      <c r="CB3" s="13">
        <f t="shared" si="0"/>
        <v>30.82613029987175</v>
      </c>
      <c r="CC3" s="13">
        <f t="shared" si="0"/>
        <v>35.41885848829225</v>
      </c>
      <c r="CD3" s="13">
        <f t="shared" si="0"/>
        <v>38.85838686304111</v>
      </c>
      <c r="CE3" s="13">
        <f t="shared" si="0"/>
        <v>53.90128077756973</v>
      </c>
      <c r="CF3" s="13">
        <f t="shared" si="0"/>
        <v>76.19982892526416</v>
      </c>
      <c r="CG3" s="13">
        <f t="shared" si="0"/>
        <v>105.54079885066702</v>
      </c>
      <c r="CH3" s="13">
        <f t="shared" si="0"/>
        <v>138.68377987666526</v>
      </c>
      <c r="CI3" s="13"/>
    </row>
    <row r="4" spans="1:87" ht="12.75">
      <c r="A4" t="s">
        <v>150</v>
      </c>
      <c r="B4" t="s">
        <v>254</v>
      </c>
      <c r="C4" s="7">
        <v>1833.61379276615</v>
      </c>
      <c r="D4" s="7">
        <v>994.766707460132</v>
      </c>
      <c r="E4" s="7">
        <v>1699.05691329932</v>
      </c>
      <c r="F4" s="7">
        <v>1759.12629959089</v>
      </c>
      <c r="G4" s="7">
        <v>1510.78247736622</v>
      </c>
      <c r="H4" s="7">
        <v>1412.20136844446</v>
      </c>
      <c r="I4" s="7">
        <v>1110.46875462615</v>
      </c>
      <c r="J4" s="7">
        <v>1146.46476618074</v>
      </c>
      <c r="K4" s="7">
        <v>1257.0641739063</v>
      </c>
      <c r="L4" s="7">
        <v>1622.87145527951</v>
      </c>
      <c r="M4" s="7">
        <v>1959.49253831864</v>
      </c>
      <c r="N4" s="7">
        <v>4231.14246982827</v>
      </c>
      <c r="O4" s="7">
        <v>2074.38817539101</v>
      </c>
      <c r="P4" s="7">
        <v>1505.00328005985</v>
      </c>
      <c r="Q4" s="7">
        <v>1887.03839921924</v>
      </c>
      <c r="R4" s="7">
        <v>1378.32556192713</v>
      </c>
      <c r="S4" s="7">
        <v>1545.35828368812</v>
      </c>
      <c r="T4" s="7">
        <v>1629.76502885797</v>
      </c>
      <c r="U4" s="7">
        <v>1318.64878907771</v>
      </c>
      <c r="V4" s="7">
        <v>1125.05382972956</v>
      </c>
      <c r="W4" s="7">
        <v>1506.29448307638</v>
      </c>
      <c r="X4" s="7">
        <v>1481.58296461445</v>
      </c>
      <c r="Y4" s="7">
        <v>3159.21677055367</v>
      </c>
      <c r="Z4" s="7">
        <v>3339.00065636273</v>
      </c>
      <c r="AA4" s="15">
        <f>SUMPRODUCT(C4:Z4,Q_monthly_by_region!B4:Y4)/SUM(Q_monthly_by_region!B4:Y4)</f>
        <v>2179.936448177273</v>
      </c>
      <c r="AB4" s="3" t="str">
        <f aca="true" t="shared" si="1" ref="AB4:AB16">CONCATENATE("'",AC4,"',")</f>
        <v>'DON',</v>
      </c>
      <c r="AC4" s="1" t="s">
        <v>164</v>
      </c>
      <c r="AD4" s="12">
        <f>SUMPRODUCT(C7:C11,Q_monthly_by_region!B7:B11)/SUM(Q_monthly_by_region!B7:B11)</f>
        <v>32.87763537478721</v>
      </c>
      <c r="AE4" s="12">
        <f>SUMPRODUCT(D7:D11,Q_monthly_by_region!C7:C11)/SUM(Q_monthly_by_region!C7:C11)</f>
        <v>30.395786592593748</v>
      </c>
      <c r="AF4" s="12">
        <f>SUMPRODUCT(E7:E11,Q_monthly_by_region!D7:D11)/SUM(Q_monthly_by_region!D7:D11)</f>
        <v>53.95637744858772</v>
      </c>
      <c r="AG4" s="12">
        <f>SUMPRODUCT(F7:F11,Q_monthly_by_region!E7:E11)/SUM(Q_monthly_by_region!E7:E11)</f>
        <v>69.98479821669592</v>
      </c>
      <c r="AH4" s="12">
        <f>SUMPRODUCT(G7:G11,Q_monthly_by_region!F7:F11)/SUM(Q_monthly_by_region!F7:F11)</f>
        <v>47.24609218194582</v>
      </c>
      <c r="AI4" s="12">
        <f>SUMPRODUCT(H7:H11,Q_monthly_by_region!G7:G11)/SUM(Q_monthly_by_region!G7:G11)</f>
        <v>80.16868341410672</v>
      </c>
      <c r="AJ4" s="12">
        <f>SUMPRODUCT(I7:I11,Q_monthly_by_region!H7:H11)/SUM(Q_monthly_by_region!H7:H11)</f>
        <v>37.77179081503526</v>
      </c>
      <c r="AK4" s="12">
        <f>SUMPRODUCT(J7:J11,Q_monthly_by_region!I7:I11)/SUM(Q_monthly_by_region!I7:I11)</f>
        <v>41.37096675553056</v>
      </c>
      <c r="AL4" s="12">
        <f>SUMPRODUCT(K7:K11,Q_monthly_by_region!J7:J11)/SUM(Q_monthly_by_region!J7:J11)</f>
        <v>44.72175375330897</v>
      </c>
      <c r="AM4" s="12">
        <f>SUMPRODUCT(L7:L11,Q_monthly_by_region!K7:K11)/SUM(Q_monthly_by_region!K7:K11)</f>
        <v>36.69942631727575</v>
      </c>
      <c r="AN4" s="12">
        <f>SUMPRODUCT(M7:M11,Q_monthly_by_region!L7:L11)/SUM(Q_monthly_by_region!L7:L11)</f>
        <v>44.068475874481564</v>
      </c>
      <c r="AO4" s="12">
        <f>SUMPRODUCT(N7:N11,Q_monthly_by_region!M7:M11)/SUM(Q_monthly_by_region!M7:M11)</f>
        <v>78.43441094067622</v>
      </c>
      <c r="AP4" s="12">
        <f>SUMPRODUCT(O7:O11,Q_monthly_by_region!N7:N11)/SUM(Q_monthly_by_region!N7:N11)</f>
        <v>23.184772847182735</v>
      </c>
      <c r="AQ4" s="12">
        <f>SUMPRODUCT(P7:P11,Q_monthly_by_region!O7:O11)/SUM(Q_monthly_by_region!O7:O11)</f>
        <v>29.88314577911344</v>
      </c>
      <c r="AR4" s="12">
        <f>SUMPRODUCT(Q7:Q11,Q_monthly_by_region!P7:P11)/SUM(Q_monthly_by_region!P7:P11)</f>
        <v>86.4800409497396</v>
      </c>
      <c r="AS4" s="12">
        <f>SUMPRODUCT(R7:R11,Q_monthly_by_region!Q7:Q11)/SUM(Q_monthly_by_region!Q7:Q11)</f>
        <v>36.824733643938124</v>
      </c>
      <c r="AT4" s="12">
        <f>SUMPRODUCT(S7:S11,Q_monthly_by_region!R7:R11)/SUM(Q_monthly_by_region!R7:R11)</f>
        <v>37.59073580346543</v>
      </c>
      <c r="AU4" s="12">
        <f>SUMPRODUCT(T7:T11,Q_monthly_by_region!S7:S11)/SUM(Q_monthly_by_region!S7:S11)</f>
        <v>13.301792899543834</v>
      </c>
      <c r="AV4" s="12">
        <f>SUMPRODUCT(U7:U11,Q_monthly_by_region!T7:T11)/SUM(Q_monthly_by_region!T7:T11)</f>
        <v>27.832656546254263</v>
      </c>
      <c r="AW4" s="12">
        <f>SUMPRODUCT(V7:V11,Q_monthly_by_region!U7:U11)/SUM(Q_monthly_by_region!U7:U11)</f>
        <v>36.102251483621465</v>
      </c>
      <c r="AX4" s="12">
        <f>SUMPRODUCT(W7:W11,Q_monthly_by_region!V7:V11)/SUM(Q_monthly_by_region!V7:V11)</f>
        <v>29.049714775171875</v>
      </c>
      <c r="AY4" s="12">
        <f>SUMPRODUCT(X7:X11,Q_monthly_by_region!W7:W11)/SUM(Q_monthly_by_region!W7:W11)</f>
        <v>17.199078510998408</v>
      </c>
      <c r="AZ4" s="12">
        <f>SUMPRODUCT(Y7:Y11,Q_monthly_by_region!X7:X11)/SUM(Q_monthly_by_region!X7:X11)</f>
        <v>39.039965452158775</v>
      </c>
      <c r="BA4" s="12">
        <f>SUMPRODUCT(Z7:Z11,Q_monthly_by_region!Y7:Y11)/SUM(Q_monthly_by_region!Y7:Y11)</f>
        <v>45.439120214867835</v>
      </c>
      <c r="BB4" s="10"/>
      <c r="BC4" s="10"/>
      <c r="BD4" s="10"/>
      <c r="BE4" s="194" t="str">
        <f>C215</f>
        <v>Skokomish River</v>
      </c>
      <c r="BF4" s="202" t="str">
        <f>CONCATENATE(ROUND(D215,2)," (p = ",ROUND(F215,2),")")</f>
        <v>0.46 (p = 0.03)</v>
      </c>
      <c r="BG4" s="195"/>
      <c r="BH4" s="196" t="str">
        <f>CONCATENATE(ROUND(E215,2)," (p = ",ROUND(G215,2),")")</f>
        <v>0.41 (p = 0.04)</v>
      </c>
      <c r="BJ4" s="11" t="s">
        <v>164</v>
      </c>
      <c r="BK4" s="13">
        <f>AD4</f>
        <v>32.87763537478721</v>
      </c>
      <c r="BL4" s="13">
        <f aca="true" t="shared" si="2" ref="BL4:CH4">AE4</f>
        <v>30.395786592593748</v>
      </c>
      <c r="BM4" s="13">
        <f t="shared" si="2"/>
        <v>53.95637744858772</v>
      </c>
      <c r="BN4" s="13">
        <f t="shared" si="2"/>
        <v>69.98479821669592</v>
      </c>
      <c r="BO4" s="13">
        <f t="shared" si="2"/>
        <v>47.24609218194582</v>
      </c>
      <c r="BP4" s="13">
        <f t="shared" si="2"/>
        <v>80.16868341410672</v>
      </c>
      <c r="BQ4" s="13">
        <f t="shared" si="2"/>
        <v>37.77179081503526</v>
      </c>
      <c r="BR4" s="13">
        <f t="shared" si="2"/>
        <v>41.37096675553056</v>
      </c>
      <c r="BS4" s="13">
        <f t="shared" si="2"/>
        <v>44.72175375330897</v>
      </c>
      <c r="BT4" s="13">
        <f t="shared" si="2"/>
        <v>36.69942631727575</v>
      </c>
      <c r="BU4" s="13">
        <f t="shared" si="2"/>
        <v>44.068475874481564</v>
      </c>
      <c r="BV4" s="13">
        <f t="shared" si="2"/>
        <v>78.43441094067622</v>
      </c>
      <c r="BW4" s="13">
        <f t="shared" si="2"/>
        <v>23.184772847182735</v>
      </c>
      <c r="BX4" s="13">
        <f t="shared" si="2"/>
        <v>29.88314577911344</v>
      </c>
      <c r="BY4" s="13">
        <f t="shared" si="2"/>
        <v>86.4800409497396</v>
      </c>
      <c r="BZ4" s="13">
        <f t="shared" si="2"/>
        <v>36.824733643938124</v>
      </c>
      <c r="CA4" s="13">
        <f t="shared" si="2"/>
        <v>37.59073580346543</v>
      </c>
      <c r="CB4" s="13">
        <f t="shared" si="2"/>
        <v>13.301792899543834</v>
      </c>
      <c r="CC4" s="13">
        <f t="shared" si="2"/>
        <v>27.832656546254263</v>
      </c>
      <c r="CD4" s="13">
        <f t="shared" si="2"/>
        <v>36.102251483621465</v>
      </c>
      <c r="CE4" s="13">
        <f t="shared" si="2"/>
        <v>29.049714775171875</v>
      </c>
      <c r="CF4" s="13">
        <f t="shared" si="2"/>
        <v>17.199078510998408</v>
      </c>
      <c r="CG4" s="13">
        <f t="shared" si="2"/>
        <v>39.039965452158775</v>
      </c>
      <c r="CH4" s="13">
        <f t="shared" si="2"/>
        <v>45.439120214867835</v>
      </c>
      <c r="CI4" s="13"/>
    </row>
    <row r="5" spans="1:87" ht="12.75">
      <c r="A5" t="s">
        <v>150</v>
      </c>
      <c r="B5" t="s">
        <v>255</v>
      </c>
      <c r="C5" s="7">
        <v>3024.28536953915</v>
      </c>
      <c r="D5" s="7">
        <v>1452.59596492019</v>
      </c>
      <c r="E5" s="7">
        <v>1732.47475312937</v>
      </c>
      <c r="F5" s="7">
        <v>2364.58819066044</v>
      </c>
      <c r="G5" s="7">
        <v>1792.70843722107</v>
      </c>
      <c r="H5" s="7">
        <v>1422.50136435254</v>
      </c>
      <c r="I5" s="7">
        <v>1158.61327080101</v>
      </c>
      <c r="J5" s="7">
        <v>1005.30798077538</v>
      </c>
      <c r="K5" s="7">
        <v>879.84572764739</v>
      </c>
      <c r="L5" s="7">
        <v>1231.00858578424</v>
      </c>
      <c r="M5" s="7">
        <v>3029.92052918887</v>
      </c>
      <c r="N5" s="7">
        <v>5264.88589966342</v>
      </c>
      <c r="O5" s="7">
        <v>2313.49224428581</v>
      </c>
      <c r="P5" s="7">
        <v>1277.10272747999</v>
      </c>
      <c r="Q5" s="7">
        <v>1411.21119249502</v>
      </c>
      <c r="R5" s="7">
        <v>1618.03172949585</v>
      </c>
      <c r="S5" s="7">
        <v>1179.69822793801</v>
      </c>
      <c r="T5" s="7">
        <v>1589.04098339668</v>
      </c>
      <c r="U5" s="7">
        <v>1113.79000014844</v>
      </c>
      <c r="V5" s="7">
        <v>844.686174802936</v>
      </c>
      <c r="W5" s="7">
        <v>958.613882255311</v>
      </c>
      <c r="X5" s="7">
        <v>825.677418966621</v>
      </c>
      <c r="Y5" s="7">
        <v>2546.29324993427</v>
      </c>
      <c r="Z5" s="7">
        <v>2837.05635774973</v>
      </c>
      <c r="AA5" s="15">
        <f>SUMPRODUCT(C5:Z5,Q_monthly_by_region!B5:Y5)/SUM(Q_monthly_by_region!B5:Y5)</f>
        <v>2352.3260493965063</v>
      </c>
      <c r="AB5" s="3" t="str">
        <f t="shared" si="1"/>
        <v>'TDN',</v>
      </c>
      <c r="AC5" s="3" t="s">
        <v>143</v>
      </c>
      <c r="AD5" s="12">
        <f>SUMPRODUCT(C12:C16,Q_monthly_by_region!B12:B16)/SUM(Q_monthly_by_region!B12:B16)</f>
        <v>178.78876947137184</v>
      </c>
      <c r="AE5" s="12">
        <f>SUMPRODUCT(D12:D16,Q_monthly_by_region!C12:C16)/SUM(Q_monthly_by_region!C12:C16)</f>
        <v>130.1170077247767</v>
      </c>
      <c r="AF5" s="12">
        <f>SUMPRODUCT(E12:E16,Q_monthly_by_region!D12:D16)/SUM(Q_monthly_by_region!D12:D16)</f>
        <v>213.3503081341265</v>
      </c>
      <c r="AG5" s="12">
        <f>SUMPRODUCT(F12:F16,Q_monthly_by_region!E12:E16)/SUM(Q_monthly_by_region!E12:E16)</f>
        <v>173.9049044267976</v>
      </c>
      <c r="AH5" s="12">
        <f>SUMPRODUCT(G12:G16,Q_monthly_by_region!F12:F16)/SUM(Q_monthly_by_region!F12:F16)</f>
        <v>116.73702620570201</v>
      </c>
      <c r="AI5" s="12">
        <f>SUMPRODUCT(H12:H16,Q_monthly_by_region!G12:G16)/SUM(Q_monthly_by_region!G12:G16)</f>
        <v>151.09656331446828</v>
      </c>
      <c r="AJ5" s="12">
        <f>SUMPRODUCT(I12:I16,Q_monthly_by_region!H12:H16)/SUM(Q_monthly_by_region!H12:H16)</f>
        <v>135.27440625625678</v>
      </c>
      <c r="AK5" s="12">
        <f>SUMPRODUCT(J12:J16,Q_monthly_by_region!I12:I16)/SUM(Q_monthly_by_region!I12:I16)</f>
        <v>107.22968014137311</v>
      </c>
      <c r="AL5" s="12">
        <f>SUMPRODUCT(K12:K16,Q_monthly_by_region!J12:J16)/SUM(Q_monthly_by_region!J12:J16)</f>
        <v>97.31911437268148</v>
      </c>
      <c r="AM5" s="12">
        <f>SUMPRODUCT(L12:L16,Q_monthly_by_region!K12:K16)/SUM(Q_monthly_by_region!K12:K16)</f>
        <v>101.92190759869952</v>
      </c>
      <c r="AN5" s="12">
        <f>SUMPRODUCT(M12:M16,Q_monthly_by_region!L12:L16)/SUM(Q_monthly_by_region!L12:L16)</f>
        <v>189.3219885024288</v>
      </c>
      <c r="AO5" s="12">
        <f>SUMPRODUCT(N12:N16,Q_monthly_by_region!M12:M16)/SUM(Q_monthly_by_region!M12:M16)</f>
        <v>243.60315853766227</v>
      </c>
      <c r="AP5" s="12">
        <f>SUMPRODUCT(O12:O16,Q_monthly_by_region!N12:N16)/SUM(Q_monthly_by_region!N12:N16)</f>
        <v>125.08879148263098</v>
      </c>
      <c r="AQ5" s="12">
        <f>SUMPRODUCT(P12:P16,Q_monthly_by_region!O12:O16)/SUM(Q_monthly_by_region!O12:O16)</f>
        <v>122.79900696073955</v>
      </c>
      <c r="AR5" s="12">
        <f>SUMPRODUCT(Q12:Q16,Q_monthly_by_region!P12:P16)/SUM(Q_monthly_by_region!P12:P16)</f>
        <v>137.62803739389307</v>
      </c>
      <c r="AS5" s="12">
        <f>SUMPRODUCT(R12:R16,Q_monthly_by_region!Q12:Q16)/SUM(Q_monthly_by_region!Q12:Q16)</f>
        <v>104.90943825229081</v>
      </c>
      <c r="AT5" s="12">
        <f>SUMPRODUCT(S12:S16,Q_monthly_by_region!R12:R16)/SUM(Q_monthly_by_region!R12:R16)</f>
        <v>91.11771425554149</v>
      </c>
      <c r="AU5" s="12">
        <f>SUMPRODUCT(T12:T16,Q_monthly_by_region!S12:S16)/SUM(Q_monthly_by_region!S12:S16)</f>
        <v>54.259937016615524</v>
      </c>
      <c r="AV5" s="12">
        <f>SUMPRODUCT(U12:U16,Q_monthly_by_region!T12:T16)/SUM(Q_monthly_by_region!T12:T16)</f>
        <v>78.55342399777165</v>
      </c>
      <c r="AW5" s="12">
        <f>SUMPRODUCT(V12:V16,Q_monthly_by_region!U12:U16)/SUM(Q_monthly_by_region!U12:U16)</f>
        <v>84.98523332712685</v>
      </c>
      <c r="AX5" s="12">
        <f>SUMPRODUCT(W12:W16,Q_monthly_by_region!V12:V16)/SUM(Q_monthly_by_region!V12:V16)</f>
        <v>99.139803524986</v>
      </c>
      <c r="AY5" s="12">
        <f>SUMPRODUCT(X12:X16,Q_monthly_by_region!W12:W16)/SUM(Q_monthly_by_region!W12:W16)</f>
        <v>112.81418301634923</v>
      </c>
      <c r="AZ5" s="12">
        <f>SUMPRODUCT(Y12:Y16,Q_monthly_by_region!X12:X16)/SUM(Q_monthly_by_region!X12:X16)</f>
        <v>157.60032237256652</v>
      </c>
      <c r="BA5" s="12">
        <f>SUMPRODUCT(Z12:Z16,Q_monthly_by_region!Y12:Y16)/SUM(Q_monthly_by_region!Y12:Y16)</f>
        <v>196.9150529287009</v>
      </c>
      <c r="BB5" s="10"/>
      <c r="BC5" s="10"/>
      <c r="BD5" s="10"/>
      <c r="BE5" s="194" t="str">
        <f>C216</f>
        <v>Sampled Kitsap/Lowland Watersheds</v>
      </c>
      <c r="BF5" s="202" t="str">
        <f>CONCATENATE(ROUND(D216,2)," (p = ",ROUND(F216,2),")")</f>
        <v>0.52 (p = 0.01)</v>
      </c>
      <c r="BG5" s="195"/>
      <c r="BH5" s="196" t="str">
        <f>CONCATENATE(ROUND(E216,2)," (p = ",ROUND(G216,2),")")</f>
        <v>0.54 (p = 0.01)</v>
      </c>
      <c r="BJ5" s="11" t="s">
        <v>613</v>
      </c>
      <c r="BK5" s="11">
        <f>AD12</f>
        <v>37.388698305377396</v>
      </c>
      <c r="BL5" s="11">
        <f aca="true" t="shared" si="3" ref="BL5:CH5">AE12</f>
        <v>13.003492094374506</v>
      </c>
      <c r="BM5" s="11">
        <f t="shared" si="3"/>
        <v>32.4701814342881</v>
      </c>
      <c r="BN5" s="11">
        <f t="shared" si="3"/>
        <v>25.18571163011774</v>
      </c>
      <c r="BO5" s="11">
        <f t="shared" si="3"/>
        <v>30.18747326831266</v>
      </c>
      <c r="BP5" s="11">
        <f t="shared" si="3"/>
        <v>84.84865967815357</v>
      </c>
      <c r="BQ5" s="11">
        <f t="shared" si="3"/>
        <v>34.48321464661459</v>
      </c>
      <c r="BR5" s="11">
        <f t="shared" si="3"/>
        <v>36.947674118879014</v>
      </c>
      <c r="BS5" s="11">
        <f t="shared" si="3"/>
        <v>33.87190969636442</v>
      </c>
      <c r="BT5" s="11">
        <f t="shared" si="3"/>
        <v>18.97875488046345</v>
      </c>
      <c r="BU5" s="11">
        <f t="shared" si="3"/>
        <v>26.957578739170327</v>
      </c>
      <c r="BV5" s="11">
        <f t="shared" si="3"/>
        <v>68.0454870812159</v>
      </c>
      <c r="BW5" s="11">
        <f t="shared" si="3"/>
        <v>33.12804804345702</v>
      </c>
      <c r="BX5" s="11">
        <f t="shared" si="3"/>
        <v>25.97038289722914</v>
      </c>
      <c r="BY5" s="11">
        <f t="shared" si="3"/>
        <v>33.37522825801005</v>
      </c>
      <c r="BZ5" s="11">
        <f t="shared" si="3"/>
        <v>23.621957081920126</v>
      </c>
      <c r="CA5" s="11">
        <f t="shared" si="3"/>
        <v>87.14000639413018</v>
      </c>
      <c r="CB5" s="11">
        <f t="shared" si="3"/>
        <v>46.10323120013662</v>
      </c>
      <c r="CC5" s="11">
        <f t="shared" si="3"/>
        <v>37.157893225077686</v>
      </c>
      <c r="CD5" s="11">
        <f t="shared" si="3"/>
        <v>66.30710340728068</v>
      </c>
      <c r="CE5" s="11">
        <f t="shared" si="3"/>
        <v>29.786939896531333</v>
      </c>
      <c r="CF5" s="11">
        <f t="shared" si="3"/>
        <v>19.389865201866915</v>
      </c>
      <c r="CG5" s="11">
        <f t="shared" si="3"/>
        <v>165.71096817151727</v>
      </c>
      <c r="CH5" s="11">
        <f t="shared" si="3"/>
        <v>11.54728371299037</v>
      </c>
      <c r="CI5" s="11"/>
    </row>
    <row r="6" spans="1:87" ht="12.75">
      <c r="A6" t="s">
        <v>150</v>
      </c>
      <c r="B6" t="s">
        <v>256</v>
      </c>
      <c r="C6" s="7">
        <v>651.733008807854</v>
      </c>
      <c r="D6" s="7">
        <v>599.455169431737</v>
      </c>
      <c r="E6" s="7">
        <v>1001.22264843215</v>
      </c>
      <c r="F6" s="7">
        <v>958.336018491114</v>
      </c>
      <c r="G6" s="7">
        <v>787.638746644081</v>
      </c>
      <c r="H6" s="7">
        <v>718.245890083446</v>
      </c>
      <c r="I6" s="7">
        <v>418.814910136172</v>
      </c>
      <c r="J6" s="7">
        <v>417.994143616502</v>
      </c>
      <c r="K6" s="7">
        <v>465.356742965996</v>
      </c>
      <c r="L6" s="7">
        <v>584.885927447925</v>
      </c>
      <c r="M6" s="7">
        <v>607.727382469701</v>
      </c>
      <c r="N6" s="7">
        <v>1142.12753243418</v>
      </c>
      <c r="O6" s="7">
        <v>756.445582648095</v>
      </c>
      <c r="P6" s="7">
        <v>479.626263651319</v>
      </c>
      <c r="Q6" s="7">
        <v>1033.33423359524</v>
      </c>
      <c r="R6" s="7">
        <v>741.808405333608</v>
      </c>
      <c r="S6" s="7">
        <v>804.379925825258</v>
      </c>
      <c r="T6" s="7">
        <v>500.143263339203</v>
      </c>
      <c r="U6" s="7">
        <v>402.195323676952</v>
      </c>
      <c r="V6" s="7">
        <v>380.84705227943</v>
      </c>
      <c r="W6" s="7">
        <v>414.834089174075</v>
      </c>
      <c r="X6" s="7">
        <v>449.971429007449</v>
      </c>
      <c r="Y6" s="7">
        <v>1638.47840238462</v>
      </c>
      <c r="Z6" s="7">
        <v>2060.88489100463</v>
      </c>
      <c r="AA6" s="15">
        <f>SUMPRODUCT(C6:Z6,Q_monthly_by_region!B6:Y6)/SUM(Q_monthly_by_region!B6:Y6)</f>
        <v>869.419836229583</v>
      </c>
      <c r="AB6" s="3" t="str">
        <f t="shared" si="1"/>
        <v>'NO3',</v>
      </c>
      <c r="AC6" s="3" t="s">
        <v>144</v>
      </c>
      <c r="AD6" s="12">
        <f>SUMPRODUCT(C17:C21,Q_monthly_by_region!B17:B21)/SUM(Q_monthly_by_region!B17:B21)</f>
        <v>132.5411002564347</v>
      </c>
      <c r="AE6" s="12">
        <f>SUMPRODUCT(D17:D21,Q_monthly_by_region!C17:C21)/SUM(Q_monthly_by_region!C17:C21)</f>
        <v>94.33409277151122</v>
      </c>
      <c r="AF6" s="12">
        <f>SUMPRODUCT(E17:E21,Q_monthly_by_region!D17:D21)/SUM(Q_monthly_by_region!D17:D21)</f>
        <v>150.21562445893866</v>
      </c>
      <c r="AG6" s="12">
        <f>SUMPRODUCT(F17:F21,Q_monthly_by_region!E17:E21)/SUM(Q_monthly_by_region!E17:E21)</f>
        <v>94.33453579782301</v>
      </c>
      <c r="AH6" s="12">
        <f>SUMPRODUCT(G17:G21,Q_monthly_by_region!F17:F21)/SUM(Q_monthly_by_region!F17:F21)</f>
        <v>63.4320923905892</v>
      </c>
      <c r="AI6" s="12">
        <f>SUMPRODUCT(H17:H21,Q_monthly_by_region!G17:G21)/SUM(Q_monthly_by_region!G17:G21)</f>
        <v>65.11776942510544</v>
      </c>
      <c r="AJ6" s="12">
        <f>SUMPRODUCT(I17:I21,Q_monthly_by_region!H17:H21)/SUM(Q_monthly_by_region!H17:H21)</f>
        <v>82.93723390898651</v>
      </c>
      <c r="AK6" s="12">
        <f>SUMPRODUCT(J17:J21,Q_monthly_by_region!I17:I21)/SUM(Q_monthly_by_region!I17:I21)</f>
        <v>58.6666704384108</v>
      </c>
      <c r="AL6" s="12">
        <f>SUMPRODUCT(K17:K21,Q_monthly_by_region!J17:J21)/SUM(Q_monthly_by_region!J17:J21)</f>
        <v>39.60768303864863</v>
      </c>
      <c r="AM6" s="12">
        <f>SUMPRODUCT(L17:L21,Q_monthly_by_region!K17:K21)/SUM(Q_monthly_by_region!K17:K21)</f>
        <v>50.5644352987856</v>
      </c>
      <c r="AN6" s="12">
        <f>SUMPRODUCT(M17:M21,Q_monthly_by_region!L17:L21)/SUM(Q_monthly_by_region!L17:L21)</f>
        <v>125.83807288423031</v>
      </c>
      <c r="AO6" s="12">
        <f>SUMPRODUCT(N17:N21,Q_monthly_by_region!M17:M21)/SUM(Q_monthly_by_region!M17:M21)</f>
        <v>145.24726514042456</v>
      </c>
      <c r="AP6" s="12">
        <f>SUMPRODUCT(O17:O21,Q_monthly_by_region!N17:N21)/SUM(Q_monthly_by_region!N17:N21)</f>
        <v>95.41132400626756</v>
      </c>
      <c r="AQ6" s="12">
        <f>SUMPRODUCT(P17:P21,Q_monthly_by_region!O17:O21)/SUM(Q_monthly_by_region!O17:O21)</f>
        <v>86.95176515955404</v>
      </c>
      <c r="AR6" s="12">
        <f>SUMPRODUCT(Q17:Q21,Q_monthly_by_region!P17:P21)/SUM(Q_monthly_by_region!P17:P21)</f>
        <v>45.96596754035566</v>
      </c>
      <c r="AS6" s="12">
        <f>SUMPRODUCT(R17:R21,Q_monthly_by_region!Q17:Q21)/SUM(Q_monthly_by_region!Q17:Q21)</f>
        <v>58.82874783835598</v>
      </c>
      <c r="AT6" s="12">
        <f>SUMPRODUCT(S17:S21,Q_monthly_by_region!R17:R21)/SUM(Q_monthly_by_region!R17:R21)</f>
        <v>50.006844195207954</v>
      </c>
      <c r="AU6" s="12">
        <f>SUMPRODUCT(T17:T21,Q_monthly_by_region!S17:S21)/SUM(Q_monthly_by_region!S17:S21)</f>
        <v>30.82613029987175</v>
      </c>
      <c r="AV6" s="12">
        <f>SUMPRODUCT(U17:U21,Q_monthly_by_region!T17:T21)/SUM(Q_monthly_by_region!T17:T21)</f>
        <v>35.41885848829225</v>
      </c>
      <c r="AW6" s="12">
        <f>SUMPRODUCT(V17:V21,Q_monthly_by_region!U17:U21)/SUM(Q_monthly_by_region!U17:U21)</f>
        <v>38.85838686304111</v>
      </c>
      <c r="AX6" s="12">
        <f>SUMPRODUCT(W17:W21,Q_monthly_by_region!V17:V21)/SUM(Q_monthly_by_region!V17:V21)</f>
        <v>53.90128077756973</v>
      </c>
      <c r="AY6" s="12">
        <f>SUMPRODUCT(X17:X21,Q_monthly_by_region!W17:W21)/SUM(Q_monthly_by_region!W17:W21)</f>
        <v>76.19982892526416</v>
      </c>
      <c r="AZ6" s="12">
        <f>SUMPRODUCT(Y17:Y21,Q_monthly_by_region!X17:X21)/SUM(Q_monthly_by_region!X17:X21)</f>
        <v>105.54079885066702</v>
      </c>
      <c r="BA6" s="12">
        <f>SUMPRODUCT(Z17:Z21,Q_monthly_by_region!Y17:Y21)/SUM(Q_monthly_by_region!Y17:Y21)</f>
        <v>138.68377987666526</v>
      </c>
      <c r="BB6" s="10"/>
      <c r="BC6" s="10"/>
      <c r="BD6" s="10"/>
      <c r="BE6" s="194" t="str">
        <f>C217</f>
        <v>Unsampled Kitsap/Lowland Watersheds</v>
      </c>
      <c r="BF6" s="202" t="str">
        <f>CONCATENATE(ROUND(D217,2)," (p = ",ROUND(F217,2),")")</f>
        <v>0.32 (p = 0.12)</v>
      </c>
      <c r="BG6" s="195"/>
      <c r="BH6" s="196" t="str">
        <f>CONCATENATE(ROUND(E217,2)," (p = ",ROUND(G217,3),")")</f>
        <v>0.56 (p = 0.004)</v>
      </c>
      <c r="BJ6" s="11" t="s">
        <v>145</v>
      </c>
      <c r="BK6" s="13">
        <f>AD7</f>
        <v>12.83138656911831</v>
      </c>
      <c r="BL6" s="13">
        <f aca="true" t="shared" si="4" ref="BL6:CH7">AE7</f>
        <v>5.005604075468829</v>
      </c>
      <c r="BM6" s="13">
        <f t="shared" si="4"/>
        <v>8.31728636134478</v>
      </c>
      <c r="BN6" s="13">
        <f t="shared" si="4"/>
        <v>8.927609337047215</v>
      </c>
      <c r="BO6" s="13">
        <f t="shared" si="4"/>
        <v>5.398039147502283</v>
      </c>
      <c r="BP6" s="13">
        <f t="shared" si="4"/>
        <v>4.980832714832135</v>
      </c>
      <c r="BQ6" s="13">
        <f t="shared" si="4"/>
        <v>13.649123597599962</v>
      </c>
      <c r="BR6" s="13">
        <f t="shared" si="4"/>
        <v>6.372368046589918</v>
      </c>
      <c r="BS6" s="13">
        <f t="shared" si="4"/>
        <v>11.649675888328167</v>
      </c>
      <c r="BT6" s="13">
        <f t="shared" si="4"/>
        <v>13.461175100064583</v>
      </c>
      <c r="BU6" s="13">
        <f t="shared" si="4"/>
        <v>18.449689353454048</v>
      </c>
      <c r="BV6" s="13">
        <f t="shared" si="4"/>
        <v>18.6163836361329</v>
      </c>
      <c r="BW6" s="13">
        <f t="shared" si="4"/>
        <v>6.176105027224025</v>
      </c>
      <c r="BX6" s="13">
        <f t="shared" si="4"/>
        <v>5.577980161303926</v>
      </c>
      <c r="BY6" s="13">
        <f t="shared" si="4"/>
        <v>4.614649065680891</v>
      </c>
      <c r="BZ6" s="13">
        <f t="shared" si="4"/>
        <v>8.76835234959842</v>
      </c>
      <c r="CA6" s="13">
        <f t="shared" si="4"/>
        <v>7.1851770140200335</v>
      </c>
      <c r="CB6" s="13">
        <f t="shared" si="4"/>
        <v>9.6850502690296</v>
      </c>
      <c r="CC6" s="13">
        <f t="shared" si="4"/>
        <v>3.5397540781069807</v>
      </c>
      <c r="CD6" s="13">
        <f t="shared" si="4"/>
        <v>9.51691163442058</v>
      </c>
      <c r="CE6" s="13">
        <f t="shared" si="4"/>
        <v>13.249112843930876</v>
      </c>
      <c r="CF6" s="13">
        <f t="shared" si="4"/>
        <v>18.871183945828438</v>
      </c>
      <c r="CG6" s="13">
        <f t="shared" si="4"/>
        <v>6.657150707525661</v>
      </c>
      <c r="CH6" s="13">
        <f t="shared" si="4"/>
        <v>12.062387999849312</v>
      </c>
      <c r="CI6" s="13"/>
    </row>
    <row r="7" spans="1:87" ht="13.5" thickBot="1">
      <c r="A7" t="s">
        <v>151</v>
      </c>
      <c r="B7" t="s">
        <v>253</v>
      </c>
      <c r="C7" s="7">
        <v>9.09562665967413</v>
      </c>
      <c r="D7" s="7">
        <v>57.1932053540954</v>
      </c>
      <c r="E7" s="7">
        <v>29.2511429484101</v>
      </c>
      <c r="F7" s="7">
        <v>54.4422538553878</v>
      </c>
      <c r="G7" s="7">
        <v>39.5684002106792</v>
      </c>
      <c r="H7" s="7">
        <v>24.0983498003312</v>
      </c>
      <c r="I7" s="7">
        <v>11.9711138623413</v>
      </c>
      <c r="J7" s="7">
        <v>18.3202800558633</v>
      </c>
      <c r="K7" s="7">
        <v>53.6930990453281</v>
      </c>
      <c r="L7" s="7">
        <v>48.6220143642158</v>
      </c>
      <c r="M7" s="7">
        <v>66.7202860589795</v>
      </c>
      <c r="N7" s="7">
        <v>49.1727754728311</v>
      </c>
      <c r="O7" s="7">
        <v>44.9976593266405</v>
      </c>
      <c r="P7" s="7">
        <v>34.9509081459316</v>
      </c>
      <c r="Q7" s="7">
        <v>52.4269432666225</v>
      </c>
      <c r="R7" s="7">
        <v>50.9304525438046</v>
      </c>
      <c r="S7" s="7">
        <v>40.8873468843685</v>
      </c>
      <c r="T7" s="7">
        <v>7.24648550153552</v>
      </c>
      <c r="U7" s="7">
        <v>11.58494889904</v>
      </c>
      <c r="V7" s="7">
        <v>30.7127566828345</v>
      </c>
      <c r="W7" s="7">
        <v>31.9397172732256</v>
      </c>
      <c r="X7" s="7">
        <v>15.4501350493858</v>
      </c>
      <c r="Y7" s="7">
        <v>17.6103817762984</v>
      </c>
      <c r="Z7" s="7">
        <v>26.9577383925133</v>
      </c>
      <c r="AA7" s="15">
        <f>SUMPRODUCT(C7:Z7,Q_monthly_by_region!B7:Y7)/SUM(Q_monthly_by_region!B7:Y7)</f>
        <v>38.47161860759441</v>
      </c>
      <c r="AB7" s="3" t="str">
        <f t="shared" si="1"/>
        <v>'NH4',</v>
      </c>
      <c r="AC7" s="3" t="s">
        <v>145</v>
      </c>
      <c r="AD7" s="12">
        <f>SUMPRODUCT(C22:C26,Q_monthly_by_region!B22:B26)/SUM(Q_monthly_by_region!B22:B26)</f>
        <v>12.83138656911831</v>
      </c>
      <c r="AE7" s="12">
        <f>SUMPRODUCT(D22:D26,Q_monthly_by_region!C22:C26)/SUM(Q_monthly_by_region!C22:C26)</f>
        <v>5.005604075468829</v>
      </c>
      <c r="AF7" s="12">
        <f>SUMPRODUCT(E22:E26,Q_monthly_by_region!D22:D26)/SUM(Q_monthly_by_region!D22:D26)</f>
        <v>8.31728636134478</v>
      </c>
      <c r="AG7" s="12">
        <f>SUMPRODUCT(F22:F26,Q_monthly_by_region!E22:E26)/SUM(Q_monthly_by_region!E22:E26)</f>
        <v>8.927609337047215</v>
      </c>
      <c r="AH7" s="12">
        <f>SUMPRODUCT(G22:G26,Q_monthly_by_region!F22:F26)/SUM(Q_monthly_by_region!F22:F26)</f>
        <v>5.398039147502283</v>
      </c>
      <c r="AI7" s="12">
        <f>SUMPRODUCT(H22:H26,Q_monthly_by_region!G22:G26)/SUM(Q_monthly_by_region!G22:G26)</f>
        <v>4.980832714832135</v>
      </c>
      <c r="AJ7" s="12">
        <f>SUMPRODUCT(I22:I26,Q_monthly_by_region!H22:H26)/SUM(Q_monthly_by_region!H22:H26)</f>
        <v>13.649123597599962</v>
      </c>
      <c r="AK7" s="12">
        <f>SUMPRODUCT(J22:J26,Q_monthly_by_region!I22:I26)/SUM(Q_monthly_by_region!I22:I26)</f>
        <v>6.372368046589918</v>
      </c>
      <c r="AL7" s="12">
        <f>SUMPRODUCT(K22:K26,Q_monthly_by_region!J22:J26)/SUM(Q_monthly_by_region!J22:J26)</f>
        <v>11.649675888328167</v>
      </c>
      <c r="AM7" s="12">
        <f>SUMPRODUCT(L22:L26,Q_monthly_by_region!K22:K26)/SUM(Q_monthly_by_region!K22:K26)</f>
        <v>13.461175100064583</v>
      </c>
      <c r="AN7" s="12">
        <f>SUMPRODUCT(M22:M26,Q_monthly_by_region!L22:L26)/SUM(Q_monthly_by_region!L22:L26)</f>
        <v>18.449689353454048</v>
      </c>
      <c r="AO7" s="12">
        <f>SUMPRODUCT(N22:N26,Q_monthly_by_region!M22:M26)/SUM(Q_monthly_by_region!M22:M26)</f>
        <v>18.6163836361329</v>
      </c>
      <c r="AP7" s="12">
        <f>SUMPRODUCT(O22:O26,Q_monthly_by_region!N22:N26)/SUM(Q_monthly_by_region!N22:N26)</f>
        <v>6.176105027224025</v>
      </c>
      <c r="AQ7" s="12">
        <f>SUMPRODUCT(P22:P26,Q_monthly_by_region!O22:O26)/SUM(Q_monthly_by_region!O22:O26)</f>
        <v>5.577980161303926</v>
      </c>
      <c r="AR7" s="12">
        <f>SUMPRODUCT(Q22:Q26,Q_monthly_by_region!P22:P26)/SUM(Q_monthly_by_region!P22:P26)</f>
        <v>4.614649065680891</v>
      </c>
      <c r="AS7" s="12">
        <f>SUMPRODUCT(R22:R26,Q_monthly_by_region!Q22:Q26)/SUM(Q_monthly_by_region!Q22:Q26)</f>
        <v>8.76835234959842</v>
      </c>
      <c r="AT7" s="12">
        <f>SUMPRODUCT(S22:S26,Q_monthly_by_region!R22:R26)/SUM(Q_monthly_by_region!R22:R26)</f>
        <v>7.1851770140200335</v>
      </c>
      <c r="AU7" s="12">
        <f>SUMPRODUCT(T22:T26,Q_monthly_by_region!S22:S26)/SUM(Q_monthly_by_region!S22:S26)</f>
        <v>9.6850502690296</v>
      </c>
      <c r="AV7" s="12">
        <f>SUMPRODUCT(U22:U26,Q_monthly_by_region!T22:T26)/SUM(Q_monthly_by_region!T22:T26)</f>
        <v>3.5397540781069807</v>
      </c>
      <c r="AW7" s="12">
        <f>SUMPRODUCT(V22:V26,Q_monthly_by_region!U22:U26)/SUM(Q_monthly_by_region!U22:U26)</f>
        <v>9.51691163442058</v>
      </c>
      <c r="AX7" s="12">
        <f>SUMPRODUCT(W22:W26,Q_monthly_by_region!V22:V26)/SUM(Q_monthly_by_region!V22:V26)</f>
        <v>13.249112843930876</v>
      </c>
      <c r="AY7" s="12">
        <f>SUMPRODUCT(X22:X26,Q_monthly_by_region!W22:W26)/SUM(Q_monthly_by_region!W22:W26)</f>
        <v>18.871183945828438</v>
      </c>
      <c r="AZ7" s="12">
        <f>SUMPRODUCT(Y22:Y26,Q_monthly_by_region!X22:X26)/SUM(Q_monthly_by_region!X22:X26)</f>
        <v>6.657150707525661</v>
      </c>
      <c r="BA7" s="12">
        <f>SUMPRODUCT(Z22:Z26,Q_monthly_by_region!Y22:Y26)/SUM(Q_monthly_by_region!Y22:Y26)</f>
        <v>12.062387999849312</v>
      </c>
      <c r="BB7" s="10"/>
      <c r="BC7" s="10"/>
      <c r="BD7" s="10"/>
      <c r="BE7" s="197" t="str">
        <f>C218</f>
        <v>Other Olympic Mountain Rivers</v>
      </c>
      <c r="BF7" s="203" t="str">
        <f>CONCATENATE(ROUND(D218,2)," (p = ",ROUND(F218,2),")")</f>
        <v>0.48 (p = 0.02)</v>
      </c>
      <c r="BG7" s="198"/>
      <c r="BH7" s="199" t="str">
        <f>CONCATENATE(ROUND(E218,2)," (p = ",ROUND(G218,4),")")</f>
        <v>0.69 (p = 0.0002)</v>
      </c>
      <c r="BJ7" s="11" t="s">
        <v>146</v>
      </c>
      <c r="BK7" s="13">
        <f>AD8</f>
        <v>0.5386472710316718</v>
      </c>
      <c r="BL7" s="13">
        <f t="shared" si="4"/>
        <v>0.38152428520301285</v>
      </c>
      <c r="BM7" s="13">
        <f t="shared" si="4"/>
        <v>0.861019865255455</v>
      </c>
      <c r="BN7" s="13">
        <f t="shared" si="4"/>
        <v>0.657961075231624</v>
      </c>
      <c r="BO7" s="13">
        <f t="shared" si="4"/>
        <v>0.6608024856646483</v>
      </c>
      <c r="BP7" s="13">
        <f t="shared" si="4"/>
        <v>0.798116388547502</v>
      </c>
      <c r="BQ7" s="13">
        <f t="shared" si="4"/>
        <v>0.8129221592035075</v>
      </c>
      <c r="BR7" s="13">
        <f t="shared" si="4"/>
        <v>0.8196749008417905</v>
      </c>
      <c r="BS7" s="13">
        <f t="shared" si="4"/>
        <v>1.4050564610998992</v>
      </c>
      <c r="BT7" s="13">
        <f t="shared" si="4"/>
        <v>1.3386885129800963</v>
      </c>
      <c r="BU7" s="13">
        <f t="shared" si="4"/>
        <v>0.965750390263085</v>
      </c>
      <c r="BV7" s="13">
        <f t="shared" si="4"/>
        <v>1.25358588133795</v>
      </c>
      <c r="BW7" s="13">
        <f t="shared" si="4"/>
        <v>0.3355514213452436</v>
      </c>
      <c r="BX7" s="13">
        <f t="shared" si="4"/>
        <v>0.3189353474652724</v>
      </c>
      <c r="BY7" s="13">
        <f t="shared" si="4"/>
        <v>0.5673798381167573</v>
      </c>
      <c r="BZ7" s="13">
        <f t="shared" si="4"/>
        <v>0.36022806876645647</v>
      </c>
      <c r="CA7" s="13">
        <f t="shared" si="4"/>
        <v>0.8614345091841484</v>
      </c>
      <c r="CB7" s="13">
        <f t="shared" si="4"/>
        <v>0.44696354817032424</v>
      </c>
      <c r="CC7" s="13">
        <f t="shared" si="4"/>
        <v>0.2745516058811113</v>
      </c>
      <c r="CD7" s="13">
        <f t="shared" si="4"/>
        <v>0.3868652746007858</v>
      </c>
      <c r="CE7" s="13">
        <f t="shared" si="4"/>
        <v>2.856474358297252</v>
      </c>
      <c r="CF7" s="13">
        <f t="shared" si="4"/>
        <v>0.488655250474974</v>
      </c>
      <c r="CG7" s="13">
        <f t="shared" si="4"/>
        <v>6.352310747246155</v>
      </c>
      <c r="CH7" s="13">
        <f t="shared" si="4"/>
        <v>0.585373100779658</v>
      </c>
      <c r="CI7" s="13"/>
    </row>
    <row r="8" spans="1:56" ht="13.5" thickTop="1">
      <c r="A8" t="s">
        <v>151</v>
      </c>
      <c r="B8" t="s">
        <v>149</v>
      </c>
      <c r="C8" s="7">
        <v>17.0265665893433</v>
      </c>
      <c r="D8" s="7">
        <v>20.3060128608833</v>
      </c>
      <c r="E8" s="7">
        <v>15.3593128095608</v>
      </c>
      <c r="F8" s="7">
        <v>43.3696725923166</v>
      </c>
      <c r="G8" s="7">
        <v>26.5964175236971</v>
      </c>
      <c r="H8" s="7">
        <v>61.969486528466</v>
      </c>
      <c r="I8" s="7">
        <v>42.58603087667</v>
      </c>
      <c r="J8" s="7">
        <v>44.9785258413115</v>
      </c>
      <c r="K8" s="7">
        <v>26.930954793683</v>
      </c>
      <c r="L8" s="7">
        <v>25.5895095758491</v>
      </c>
      <c r="M8" s="7">
        <v>10.9708343687736</v>
      </c>
      <c r="N8" s="7">
        <v>33.4498834910624</v>
      </c>
      <c r="O8" s="7">
        <v>13.9709719991526</v>
      </c>
      <c r="P8" s="7">
        <v>16.7353881012666</v>
      </c>
      <c r="Q8" s="7">
        <v>144.692800031591</v>
      </c>
      <c r="R8" s="7">
        <v>5.14254641588726</v>
      </c>
      <c r="S8" s="7">
        <v>18.5692552646209</v>
      </c>
      <c r="T8" s="7">
        <v>39.4495862183459</v>
      </c>
      <c r="U8" s="7">
        <v>41.2122879451646</v>
      </c>
      <c r="V8" s="7">
        <v>29.4722360533316</v>
      </c>
      <c r="W8" s="7">
        <v>27.5685636049763</v>
      </c>
      <c r="X8" s="7">
        <v>9.15493143181505</v>
      </c>
      <c r="Y8" s="7">
        <v>-2.33765413438277</v>
      </c>
      <c r="Z8" s="7">
        <v>16.4692958677657</v>
      </c>
      <c r="AA8" s="15">
        <f>SUMPRODUCT(C8:Z8,Q_monthly_by_region!B8:Y8)/SUM(Q_monthly_by_region!B8:Y8)</f>
        <v>22.38249983815244</v>
      </c>
      <c r="AB8" s="3" t="str">
        <f t="shared" si="1"/>
        <v>'NO2',</v>
      </c>
      <c r="AC8" s="3" t="s">
        <v>146</v>
      </c>
      <c r="AD8" s="12">
        <f>SUMPRODUCT(C27:C31,Q_monthly_by_region!B27:B31)/SUM(Q_monthly_by_region!B27:B31)</f>
        <v>0.5386472710316718</v>
      </c>
      <c r="AE8" s="12">
        <f>SUMPRODUCT(D27:D31,Q_monthly_by_region!C27:C31)/SUM(Q_monthly_by_region!C27:C31)</f>
        <v>0.38152428520301285</v>
      </c>
      <c r="AF8" s="12">
        <f>SUMPRODUCT(E27:E31,Q_monthly_by_region!D27:D31)/SUM(Q_monthly_by_region!D27:D31)</f>
        <v>0.861019865255455</v>
      </c>
      <c r="AG8" s="12">
        <f>SUMPRODUCT(F27:F31,Q_monthly_by_region!E27:E31)/SUM(Q_monthly_by_region!E27:E31)</f>
        <v>0.657961075231624</v>
      </c>
      <c r="AH8" s="12">
        <f>SUMPRODUCT(G27:G31,Q_monthly_by_region!F27:F31)/SUM(Q_monthly_by_region!F27:F31)</f>
        <v>0.6608024856646483</v>
      </c>
      <c r="AI8" s="12">
        <f>SUMPRODUCT(H27:H31,Q_monthly_by_region!G27:G31)/SUM(Q_monthly_by_region!G27:G31)</f>
        <v>0.798116388547502</v>
      </c>
      <c r="AJ8" s="12">
        <f>SUMPRODUCT(I27:I31,Q_monthly_by_region!H27:H31)/SUM(Q_monthly_by_region!H27:H31)</f>
        <v>0.8129221592035075</v>
      </c>
      <c r="AK8" s="12">
        <f>SUMPRODUCT(J27:J31,Q_monthly_by_region!I27:I31)/SUM(Q_monthly_by_region!I27:I31)</f>
        <v>0.8196749008417905</v>
      </c>
      <c r="AL8" s="12">
        <f>SUMPRODUCT(K27:K31,Q_monthly_by_region!J27:J31)/SUM(Q_monthly_by_region!J27:J31)</f>
        <v>1.4050564610998992</v>
      </c>
      <c r="AM8" s="12">
        <f>SUMPRODUCT(L27:L31,Q_monthly_by_region!K27:K31)/SUM(Q_monthly_by_region!K27:K31)</f>
        <v>1.3386885129800963</v>
      </c>
      <c r="AN8" s="12">
        <f>SUMPRODUCT(M27:M31,Q_monthly_by_region!L27:L31)/SUM(Q_monthly_by_region!L27:L31)</f>
        <v>0.965750390263085</v>
      </c>
      <c r="AO8" s="12">
        <f>SUMPRODUCT(N27:N31,Q_monthly_by_region!M27:M31)/SUM(Q_monthly_by_region!M27:M31)</f>
        <v>1.25358588133795</v>
      </c>
      <c r="AP8" s="12">
        <f>SUMPRODUCT(O27:O31,Q_monthly_by_region!N27:N31)/SUM(Q_monthly_by_region!N27:N31)</f>
        <v>0.3355514213452436</v>
      </c>
      <c r="AQ8" s="12">
        <f>SUMPRODUCT(P27:P31,Q_monthly_by_region!O27:O31)/SUM(Q_monthly_by_region!O27:O31)</f>
        <v>0.3189353474652724</v>
      </c>
      <c r="AR8" s="12">
        <f>SUMPRODUCT(Q27:Q31,Q_monthly_by_region!P27:P31)/SUM(Q_monthly_by_region!P27:P31)</f>
        <v>0.5673798381167573</v>
      </c>
      <c r="AS8" s="12">
        <f>SUMPRODUCT(R27:R31,Q_monthly_by_region!Q27:Q31)/SUM(Q_monthly_by_region!Q27:Q31)</f>
        <v>0.36022806876645647</v>
      </c>
      <c r="AT8" s="12">
        <f>SUMPRODUCT(S27:S31,Q_monthly_by_region!R27:R31)/SUM(Q_monthly_by_region!R27:R31)</f>
        <v>0.8614345091841484</v>
      </c>
      <c r="AU8" s="12">
        <f>SUMPRODUCT(T27:T31,Q_monthly_by_region!S27:S31)/SUM(Q_monthly_by_region!S27:S31)</f>
        <v>0.44696354817032424</v>
      </c>
      <c r="AV8" s="12">
        <f>SUMPRODUCT(U27:U31,Q_monthly_by_region!T27:T31)/SUM(Q_monthly_by_region!T27:T31)</f>
        <v>0.2745516058811113</v>
      </c>
      <c r="AW8" s="12">
        <f>SUMPRODUCT(V27:V31,Q_monthly_by_region!U27:U31)/SUM(Q_monthly_by_region!U27:U31)</f>
        <v>0.3868652746007858</v>
      </c>
      <c r="AX8" s="12">
        <f>SUMPRODUCT(W27:W31,Q_monthly_by_region!V27:V31)/SUM(Q_monthly_by_region!V27:V31)</f>
        <v>2.856474358297252</v>
      </c>
      <c r="AY8" s="12">
        <f>SUMPRODUCT(X27:X31,Q_monthly_by_region!W27:W31)/SUM(Q_monthly_by_region!W27:W31)</f>
        <v>0.488655250474974</v>
      </c>
      <c r="AZ8" s="12">
        <f>SUMPRODUCT(Y27:Y31,Q_monthly_by_region!X27:X31)/SUM(Q_monthly_by_region!X27:X31)</f>
        <v>6.352310747246155</v>
      </c>
      <c r="BA8" s="12">
        <f>SUMPRODUCT(Z27:Z31,Q_monthly_by_region!Y27:Y31)/SUM(Q_monthly_by_region!Y27:Y31)</f>
        <v>0.585373100779658</v>
      </c>
      <c r="BB8" s="10"/>
      <c r="BC8" s="10"/>
      <c r="BD8" s="10"/>
    </row>
    <row r="9" spans="1:56" ht="12.75">
      <c r="A9" t="s">
        <v>151</v>
      </c>
      <c r="B9" t="s">
        <v>254</v>
      </c>
      <c r="C9" s="7">
        <v>39.8594518932714</v>
      </c>
      <c r="D9" s="7">
        <v>38.7620582576168</v>
      </c>
      <c r="E9" s="7">
        <v>58.1571713884529</v>
      </c>
      <c r="F9" s="7">
        <v>73.2216666911761</v>
      </c>
      <c r="G9" s="7">
        <v>81.6519635832433</v>
      </c>
      <c r="H9" s="7">
        <v>133.277479300558</v>
      </c>
      <c r="I9" s="7">
        <v>64.05618896557</v>
      </c>
      <c r="J9" s="7">
        <v>60.9632918051743</v>
      </c>
      <c r="K9" s="7">
        <v>51.744996190561</v>
      </c>
      <c r="L9" s="7">
        <v>79.7428280727938</v>
      </c>
      <c r="M9" s="7">
        <v>64.5804843537287</v>
      </c>
      <c r="N9" s="7">
        <v>118.149281338422</v>
      </c>
      <c r="O9" s="7">
        <v>49.7599228912382</v>
      </c>
      <c r="P9" s="7">
        <v>51.6049887198831</v>
      </c>
      <c r="Q9" s="7">
        <v>102.818888682783</v>
      </c>
      <c r="R9" s="7">
        <v>46.7720675577815</v>
      </c>
      <c r="S9" s="7">
        <v>111.686546973025</v>
      </c>
      <c r="T9" s="7">
        <v>35.0092753605335</v>
      </c>
      <c r="U9" s="7">
        <v>71.3227312520795</v>
      </c>
      <c r="V9" s="7">
        <v>34.1526735760083</v>
      </c>
      <c r="W9" s="7">
        <v>51.3203884167686</v>
      </c>
      <c r="X9" s="7">
        <v>39.721356936552</v>
      </c>
      <c r="Y9" s="7">
        <v>93.2852141214513</v>
      </c>
      <c r="Z9" s="7">
        <v>83.7851426299339</v>
      </c>
      <c r="AA9" s="15">
        <f>SUMPRODUCT(C9:Z9,Q_monthly_by_region!B9:Y9)/SUM(Q_monthly_by_region!B9:Y9)</f>
        <v>71.53825691209308</v>
      </c>
      <c r="AB9" s="3" t="str">
        <f t="shared" si="1"/>
        <v>'PO4',</v>
      </c>
      <c r="AC9" s="3" t="s">
        <v>147</v>
      </c>
      <c r="AD9" s="12">
        <f>SUMPRODUCT(C32:C36,Q_monthly_by_region!B32:B36)/SUM(Q_monthly_by_region!B32:B36)</f>
        <v>7.619303825732458</v>
      </c>
      <c r="AE9" s="12">
        <f>SUMPRODUCT(D32:D36,Q_monthly_by_region!C32:C36)/SUM(Q_monthly_by_region!C32:C36)</f>
        <v>6.337352453667286</v>
      </c>
      <c r="AF9" s="12">
        <f>SUMPRODUCT(E32:E36,Q_monthly_by_region!D32:D36)/SUM(Q_monthly_by_region!D32:D36)</f>
        <v>10.971615063962517</v>
      </c>
      <c r="AG9" s="12">
        <f>SUMPRODUCT(F32:F36,Q_monthly_by_region!E32:E36)/SUM(Q_monthly_by_region!E32:E36)</f>
        <v>7.205100876569955</v>
      </c>
      <c r="AH9" s="12">
        <f>SUMPRODUCT(G32:G36,Q_monthly_by_region!F32:F36)/SUM(Q_monthly_by_region!F32:F36)</f>
        <v>5.2384235329658555</v>
      </c>
      <c r="AI9" s="12">
        <f>SUMPRODUCT(H32:H36,Q_monthly_by_region!G32:G36)/SUM(Q_monthly_by_region!G32:G36)</f>
        <v>5.543583775137453</v>
      </c>
      <c r="AJ9" s="12">
        <f>SUMPRODUCT(I32:I36,Q_monthly_by_region!H32:H36)/SUM(Q_monthly_by_region!H32:H36)</f>
        <v>4.569517010638265</v>
      </c>
      <c r="AK9" s="12">
        <f>SUMPRODUCT(J32:J36,Q_monthly_by_region!I32:I36)/SUM(Q_monthly_by_region!I32:I36)</f>
        <v>7.330235020475364</v>
      </c>
      <c r="AL9" s="12">
        <f>SUMPRODUCT(K32:K36,Q_monthly_by_region!J32:J36)/SUM(Q_monthly_by_region!J32:J36)</f>
        <v>6.303080772183804</v>
      </c>
      <c r="AM9" s="12">
        <f>SUMPRODUCT(L32:L36,Q_monthly_by_region!K32:K36)/SUM(Q_monthly_by_region!K32:K36)</f>
        <v>6.567865218019224</v>
      </c>
      <c r="AN9" s="12">
        <f>SUMPRODUCT(M32:M36,Q_monthly_by_region!L32:L36)/SUM(Q_monthly_by_region!L32:L36)</f>
        <v>6.8165840390966075</v>
      </c>
      <c r="AO9" s="12">
        <f>SUMPRODUCT(N32:N36,Q_monthly_by_region!M32:M36)/SUM(Q_monthly_by_region!M32:M36)</f>
        <v>8.602781755194243</v>
      </c>
      <c r="AP9" s="12">
        <f>SUMPRODUCT(O32:O36,Q_monthly_by_region!N32:N36)/SUM(Q_monthly_by_region!N32:N36)</f>
        <v>7.583371289070651</v>
      </c>
      <c r="AQ9" s="12">
        <f>SUMPRODUCT(P32:P36,Q_monthly_by_region!O32:O36)/SUM(Q_monthly_by_region!O32:O36)</f>
        <v>7.79926055476161</v>
      </c>
      <c r="AR9" s="12">
        <f>SUMPRODUCT(Q32:Q36,Q_monthly_by_region!P32:P36)/SUM(Q_monthly_by_region!P32:P36)</f>
        <v>5.6672460525328985</v>
      </c>
      <c r="AS9" s="12">
        <f>SUMPRODUCT(R32:R36,Q_monthly_by_region!Q32:Q36)/SUM(Q_monthly_by_region!Q32:Q36)</f>
        <v>5.605565961089486</v>
      </c>
      <c r="AT9" s="12">
        <f>SUMPRODUCT(S32:S36,Q_monthly_by_region!R32:R36)/SUM(Q_monthly_by_region!R32:R36)</f>
        <v>5.892580329917</v>
      </c>
      <c r="AU9" s="12">
        <f>SUMPRODUCT(T32:T36,Q_monthly_by_region!S32:S36)/SUM(Q_monthly_by_region!S32:S36)</f>
        <v>3.9939511707792654</v>
      </c>
      <c r="AV9" s="12">
        <f>SUMPRODUCT(U32:U36,Q_monthly_by_region!T32:T36)/SUM(Q_monthly_by_region!T32:T36)</f>
        <v>9.48889188475994</v>
      </c>
      <c r="AW9" s="12">
        <f>SUMPRODUCT(V32:V36,Q_monthly_by_region!U32:U36)/SUM(Q_monthly_by_region!U32:U36)</f>
        <v>7.916796895279837</v>
      </c>
      <c r="AX9" s="12">
        <f>SUMPRODUCT(W32:W36,Q_monthly_by_region!V32:V36)/SUM(Q_monthly_by_region!V32:V36)</f>
        <v>7.802204377607159</v>
      </c>
      <c r="AY9" s="12">
        <f>SUMPRODUCT(X32:X36,Q_monthly_by_region!W32:W36)/SUM(Q_monthly_by_region!W32:W36)</f>
        <v>9.050716085006645</v>
      </c>
      <c r="AZ9" s="12">
        <f>SUMPRODUCT(Y32:Y36,Q_monthly_by_region!X32:X36)/SUM(Q_monthly_by_region!X32:X36)</f>
        <v>9.914083385569798</v>
      </c>
      <c r="BA9" s="12">
        <f>SUMPRODUCT(Z32:Z36,Q_monthly_by_region!Y32:Y36)/SUM(Q_monthly_by_region!Y32:Y36)</f>
        <v>4.353782643852135</v>
      </c>
      <c r="BB9" s="10"/>
      <c r="BC9" s="10"/>
      <c r="BD9" s="10"/>
    </row>
    <row r="10" spans="1:74" ht="12.75">
      <c r="A10" t="s">
        <v>151</v>
      </c>
      <c r="B10" t="s">
        <v>255</v>
      </c>
      <c r="C10" s="7">
        <v>105.17518550567</v>
      </c>
      <c r="D10" s="7">
        <v>62.1671252490461</v>
      </c>
      <c r="E10" s="7">
        <v>95.7908206128342</v>
      </c>
      <c r="F10" s="7">
        <v>119.236358419079</v>
      </c>
      <c r="G10" s="7">
        <v>134.489539122351</v>
      </c>
      <c r="H10" s="7">
        <v>220.824190916511</v>
      </c>
      <c r="I10" s="7">
        <v>38.0147214885834</v>
      </c>
      <c r="J10" s="7">
        <v>81.1081846763183</v>
      </c>
      <c r="K10" s="7">
        <v>36.6688612842484</v>
      </c>
      <c r="L10" s="7">
        <v>59.4207079508413</v>
      </c>
      <c r="M10" s="7">
        <v>113.997103338762</v>
      </c>
      <c r="N10" s="7">
        <v>348.067122041377</v>
      </c>
      <c r="O10" s="7">
        <v>55.9419576676044</v>
      </c>
      <c r="P10" s="7">
        <v>47.9593214311824</v>
      </c>
      <c r="Q10" s="7">
        <v>59.579250861737</v>
      </c>
      <c r="R10" s="7">
        <v>63.1621080755799</v>
      </c>
      <c r="S10" s="7">
        <v>138.972523759763</v>
      </c>
      <c r="T10" s="7">
        <v>24.8465139361158</v>
      </c>
      <c r="U10" s="7">
        <v>49.6042225956572</v>
      </c>
      <c r="V10" s="7">
        <v>187.455977764791</v>
      </c>
      <c r="W10" s="7">
        <v>55.7254659396963</v>
      </c>
      <c r="X10" s="7">
        <v>31.9558662982611</v>
      </c>
      <c r="Y10" s="7">
        <v>89.7341182201755</v>
      </c>
      <c r="Z10" s="7">
        <v>126.938365540128</v>
      </c>
      <c r="AA10" s="15">
        <f>SUMPRODUCT(C10:Z10,Q_monthly_by_region!B10:Y10)/SUM(Q_monthly_by_region!B10:Y10)</f>
        <v>113.88282177934511</v>
      </c>
      <c r="AB10" s="3" t="str">
        <f t="shared" si="1"/>
        <v>'SIO4',</v>
      </c>
      <c r="AC10" s="3" t="s">
        <v>148</v>
      </c>
      <c r="AD10" s="12">
        <f>SUMPRODUCT(C37:C41,Q_monthly_by_region!B37:B41)/SUM(Q_monthly_by_region!B37:B41)</f>
        <v>4812.834616841509</v>
      </c>
      <c r="AE10" s="12">
        <f>SUMPRODUCT(D37:D41,Q_monthly_by_region!C37:C41)/SUM(Q_monthly_by_region!C37:C41)</f>
        <v>4362.7547606762855</v>
      </c>
      <c r="AF10" s="12">
        <f>SUMPRODUCT(E37:E41,Q_monthly_by_region!D37:D41)/SUM(Q_monthly_by_region!D37:D41)</f>
        <v>5555.445603108263</v>
      </c>
      <c r="AG10" s="12">
        <f>SUMPRODUCT(F37:F41,Q_monthly_by_region!E37:E41)/SUM(Q_monthly_by_region!E37:E41)</f>
        <v>5270.438078206774</v>
      </c>
      <c r="AH10" s="12">
        <f>SUMPRODUCT(G37:G41,Q_monthly_by_region!F37:F41)/SUM(Q_monthly_by_region!F37:F41)</f>
        <v>4586.020301343263</v>
      </c>
      <c r="AI10" s="12">
        <f>SUMPRODUCT(H37:H41,Q_monthly_by_region!G37:G41)/SUM(Q_monthly_by_region!G37:G41)</f>
        <v>4945.478386133037</v>
      </c>
      <c r="AJ10" s="12">
        <f>SUMPRODUCT(I37:I41,Q_monthly_by_region!H37:H41)/SUM(Q_monthly_by_region!H37:H41)</f>
        <v>5657.983798254478</v>
      </c>
      <c r="AK10" s="12">
        <f>SUMPRODUCT(J37:J41,Q_monthly_by_region!I37:I41)/SUM(Q_monthly_by_region!I37:I41)</f>
        <v>5179.684879882933</v>
      </c>
      <c r="AL10" s="12">
        <f>SUMPRODUCT(K37:K41,Q_monthly_by_region!J37:J41)/SUM(Q_monthly_by_region!J37:J41)</f>
        <v>4076.3883317037944</v>
      </c>
      <c r="AM10" s="12">
        <f>SUMPRODUCT(L37:L41,Q_monthly_by_region!K37:K41)/SUM(Q_monthly_by_region!K37:K41)</f>
        <v>4536.142359509714</v>
      </c>
      <c r="AN10" s="12">
        <f>SUMPRODUCT(M37:M41,Q_monthly_by_region!L37:L41)/SUM(Q_monthly_by_region!L37:L41)</f>
        <v>4740.368920617196</v>
      </c>
      <c r="AO10" s="12">
        <f>SUMPRODUCT(N37:N41,Q_monthly_by_region!M37:M41)/SUM(Q_monthly_by_region!M37:M41)</f>
        <v>5148.835110218261</v>
      </c>
      <c r="AP10" s="12">
        <f>SUMPRODUCT(O37:O41,Q_monthly_by_region!N37:N41)/SUM(Q_monthly_by_region!N37:N41)</f>
        <v>4862.636771870431</v>
      </c>
      <c r="AQ10" s="12">
        <f>SUMPRODUCT(P37:P41,Q_monthly_by_region!O37:O41)/SUM(Q_monthly_by_region!O37:O41)</f>
        <v>4567.040406830157</v>
      </c>
      <c r="AR10" s="12">
        <f>SUMPRODUCT(Q37:Q41,Q_monthly_by_region!P37:P41)/SUM(Q_monthly_by_region!P37:P41)</f>
        <v>4737.356764160823</v>
      </c>
      <c r="AS10" s="12">
        <f>SUMPRODUCT(R37:R41,Q_monthly_by_region!Q37:Q41)/SUM(Q_monthly_by_region!Q37:Q41)</f>
        <v>4546.038798599332</v>
      </c>
      <c r="AT10" s="12">
        <f>SUMPRODUCT(S37:S41,Q_monthly_by_region!R37:R41)/SUM(Q_monthly_by_region!R37:R41)</f>
        <v>4299.414558115115</v>
      </c>
      <c r="AU10" s="12">
        <f>SUMPRODUCT(T37:T41,Q_monthly_by_region!S37:S41)/SUM(Q_monthly_by_region!S37:S41)</f>
        <v>3688.6389676475897</v>
      </c>
      <c r="AV10" s="12">
        <f>SUMPRODUCT(U37:U41,Q_monthly_by_region!T37:T41)/SUM(Q_monthly_by_region!T37:T41)</f>
        <v>5283.0353832792525</v>
      </c>
      <c r="AW10" s="12">
        <f>SUMPRODUCT(V37:V41,Q_monthly_by_region!U37:U41)/SUM(Q_monthly_by_region!U37:U41)</f>
        <v>4905.640007171656</v>
      </c>
      <c r="AX10" s="12">
        <f>SUMPRODUCT(W37:W41,Q_monthly_by_region!V37:V41)/SUM(Q_monthly_by_region!V37:V41)</f>
        <v>5153.271388108658</v>
      </c>
      <c r="AY10" s="12">
        <f>SUMPRODUCT(X37:X41,Q_monthly_by_region!W37:W41)/SUM(Q_monthly_by_region!W37:W41)</f>
        <v>5643.377795716909</v>
      </c>
      <c r="AZ10" s="12">
        <f>SUMPRODUCT(Y37:Y41,Q_monthly_by_region!X37:X41)/SUM(Q_monthly_by_region!X37:X41)</f>
        <v>4627.202614716965</v>
      </c>
      <c r="BA10" s="12">
        <f>SUMPRODUCT(Z37:Z41,Q_monthly_by_region!Y37:Y41)/SUM(Q_monthly_by_region!Y37:Y41)</f>
        <v>4575.17199929137</v>
      </c>
      <c r="BB10" s="10"/>
      <c r="BC10" s="10"/>
      <c r="BD10" s="10"/>
      <c r="BK10" s="11" t="s">
        <v>228</v>
      </c>
      <c r="BL10" t="s">
        <v>229</v>
      </c>
      <c r="BM10" t="s">
        <v>230</v>
      </c>
      <c r="BN10" t="s">
        <v>219</v>
      </c>
      <c r="BO10" t="s">
        <v>220</v>
      </c>
      <c r="BP10" t="s">
        <v>221</v>
      </c>
      <c r="BQ10" t="s">
        <v>222</v>
      </c>
      <c r="BR10" t="s">
        <v>223</v>
      </c>
      <c r="BS10" t="s">
        <v>224</v>
      </c>
      <c r="BT10" t="s">
        <v>225</v>
      </c>
      <c r="BU10" t="s">
        <v>226</v>
      </c>
      <c r="BV10" t="s">
        <v>227</v>
      </c>
    </row>
    <row r="11" spans="1:74" ht="12.75">
      <c r="A11" t="s">
        <v>151</v>
      </c>
      <c r="B11" t="s">
        <v>256</v>
      </c>
      <c r="C11" s="7">
        <v>21.1002712633317</v>
      </c>
      <c r="D11" s="7">
        <v>13.7106970160547</v>
      </c>
      <c r="E11" s="7">
        <v>62.8443129870649</v>
      </c>
      <c r="F11" s="7">
        <v>71.3301601145307</v>
      </c>
      <c r="G11" s="7">
        <v>32.4770583191814</v>
      </c>
      <c r="H11" s="7">
        <v>37.5039042438508</v>
      </c>
      <c r="I11" s="7">
        <v>30.9183824955505</v>
      </c>
      <c r="J11" s="7">
        <v>32.0894476537566</v>
      </c>
      <c r="K11" s="7">
        <v>37.5985640338798</v>
      </c>
      <c r="L11" s="7">
        <v>17.9158895683947</v>
      </c>
      <c r="M11" s="7">
        <v>34.5550326482547</v>
      </c>
      <c r="N11" s="7">
        <v>69.1807076682234</v>
      </c>
      <c r="O11" s="7">
        <v>14.1892156399164</v>
      </c>
      <c r="P11" s="7">
        <v>29.3353900906998</v>
      </c>
      <c r="Q11" s="7">
        <v>72.4555900126556</v>
      </c>
      <c r="R11" s="7">
        <v>44.3268266306316</v>
      </c>
      <c r="S11" s="7">
        <v>31.8166032644532</v>
      </c>
      <c r="T11" s="7">
        <v>6.53654600576642</v>
      </c>
      <c r="U11" s="7">
        <v>23.1505992559958</v>
      </c>
      <c r="V11" s="7">
        <v>15.582062236367</v>
      </c>
      <c r="W11" s="7">
        <v>19.6859330006815</v>
      </c>
      <c r="X11" s="7">
        <v>13.4962101175895</v>
      </c>
      <c r="Y11" s="7">
        <v>75.7015049488262</v>
      </c>
      <c r="Z11" s="7">
        <v>14.9035320990993</v>
      </c>
      <c r="AA11" s="15">
        <f>SUMPRODUCT(C11:Z11,Q_monthly_by_region!B11:Y11)/SUM(Q_monthly_by_region!B11:Y11)</f>
        <v>38.23722322753907</v>
      </c>
      <c r="AB11" s="3" t="str">
        <f t="shared" si="1"/>
        <v>'DIN',</v>
      </c>
      <c r="AC11" s="3" t="s">
        <v>644</v>
      </c>
      <c r="AD11" s="11">
        <f>SUMPRODUCT(C62:C66,Q_monthly_by_region!B37:B41)/SUM(Q_monthly_by_region!B37:B41)</f>
        <v>145.91113409658468</v>
      </c>
      <c r="AE11" s="11">
        <f>SUMPRODUCT(D62:D66,Q_monthly_by_region!C37:C41)/SUM(Q_monthly_by_region!C37:C41)</f>
        <v>99.72122113218309</v>
      </c>
      <c r="AF11" s="11">
        <f>SUMPRODUCT(E62:E66,Q_monthly_by_region!D37:D41)/SUM(Q_monthly_by_region!D37:D41)</f>
        <v>159.3939306855389</v>
      </c>
      <c r="AG11" s="11">
        <f>SUMPRODUCT(F62:F66,Q_monthly_by_region!E37:E41)/SUM(Q_monthly_by_region!E37:E41)</f>
        <v>103.92010621010185</v>
      </c>
      <c r="AH11" s="11">
        <f>SUMPRODUCT(G62:G66,Q_monthly_by_region!F37:F41)/SUM(Q_monthly_by_region!F37:F41)</f>
        <v>69.49093402375613</v>
      </c>
      <c r="AI11" s="11">
        <f>SUMPRODUCT(H62:H66,Q_monthly_by_region!G37:G41)/SUM(Q_monthly_by_region!G37:G41)</f>
        <v>70.89671852848507</v>
      </c>
      <c r="AJ11" s="11">
        <f>SUMPRODUCT(I62:I66,Q_monthly_by_region!H37:H41)/SUM(Q_monthly_by_region!H37:H41)</f>
        <v>97.39927966579</v>
      </c>
      <c r="AK11" s="11">
        <f>SUMPRODUCT(J62:J66,Q_monthly_by_region!I37:I41)/SUM(Q_monthly_by_region!I37:I41)</f>
        <v>65.8587133858425</v>
      </c>
      <c r="AL11" s="11">
        <f>SUMPRODUCT(K62:K66,Q_monthly_by_region!J37:J41)/SUM(Q_monthly_by_region!J37:J41)</f>
        <v>52.6624153880767</v>
      </c>
      <c r="AM11" s="11">
        <f>SUMPRODUCT(L62:L66,Q_monthly_by_region!K37:K41)/SUM(Q_monthly_by_region!K37:K41)</f>
        <v>65.36429891183026</v>
      </c>
      <c r="AN11" s="11">
        <f>SUMPRODUCT(M62:M66,Q_monthly_by_region!L37:L41)/SUM(Q_monthly_by_region!L37:L41)</f>
        <v>145.25351262794743</v>
      </c>
      <c r="AO11" s="11">
        <f>SUMPRODUCT(N62:N66,Q_monthly_by_region!M37:M41)/SUM(Q_monthly_by_region!M37:M41)</f>
        <v>165.11723465789538</v>
      </c>
      <c r="AP11" s="11">
        <f>SUMPRODUCT(O62:O66,Q_monthly_by_region!N37:N41)/SUM(Q_monthly_by_region!N37:N41)</f>
        <v>101.92298045483683</v>
      </c>
      <c r="AQ11" s="11">
        <f>SUMPRODUCT(P62:P66,Q_monthly_by_region!O37:O41)/SUM(Q_monthly_by_region!O37:O41)</f>
        <v>92.84868066832323</v>
      </c>
      <c r="AR11" s="11">
        <f>SUMPRODUCT(Q62:Q66,Q_monthly_by_region!P37:P41)/SUM(Q_monthly_by_region!P37:P41)</f>
        <v>51.14799644415331</v>
      </c>
      <c r="AS11" s="11">
        <f>SUMPRODUCT(R62:R66,Q_monthly_by_region!Q37:Q41)/SUM(Q_monthly_by_region!Q37:Q41)</f>
        <v>67.95732825672086</v>
      </c>
      <c r="AT11" s="11">
        <f>SUMPRODUCT(S62:S66,Q_monthly_by_region!R37:R41)/SUM(Q_monthly_by_region!R37:R41)</f>
        <v>58.05345571841213</v>
      </c>
      <c r="AU11" s="11">
        <f>SUMPRODUCT(T62:T66,Q_monthly_by_region!S37:S41)/SUM(Q_monthly_by_region!S37:S41)</f>
        <v>40.95814411707168</v>
      </c>
      <c r="AV11" s="11">
        <f>SUMPRODUCT(U62:U66,Q_monthly_by_region!T37:T41)/SUM(Q_monthly_by_region!T37:T41)</f>
        <v>39.23316417228035</v>
      </c>
      <c r="AW11" s="11">
        <f>SUMPRODUCT(V62:V66,Q_monthly_by_region!U37:U41)/SUM(Q_monthly_by_region!U37:U41)</f>
        <v>48.76216377206248</v>
      </c>
      <c r="AX11" s="11">
        <f>SUMPRODUCT(W62:W66,Q_monthly_by_region!V37:V41)/SUM(Q_monthly_by_region!V37:V41)</f>
        <v>70.00686797979786</v>
      </c>
      <c r="AY11" s="11">
        <f>SUMPRODUCT(X62:X66,Q_monthly_by_region!W37:W41)/SUM(Q_monthly_by_region!W37:W41)</f>
        <v>95.55966812156755</v>
      </c>
      <c r="AZ11" s="11">
        <f>SUMPRODUCT(Y62:Y66,Q_monthly_by_region!X37:X41)/SUM(Q_monthly_by_region!X37:X41)</f>
        <v>118.55026030543885</v>
      </c>
      <c r="BA11" s="11">
        <f>SUMPRODUCT(Z62:Z66,Q_monthly_by_region!Y37:Y41)/SUM(Q_monthly_by_region!Y37:Y41)</f>
        <v>151.33154097729425</v>
      </c>
      <c r="BJ11" s="11" t="s">
        <v>144</v>
      </c>
      <c r="BK11" s="13">
        <f>AVERAGE(BT3,CF3)</f>
        <v>63.38213211202488</v>
      </c>
      <c r="BL11" s="13">
        <f aca="true" t="shared" si="5" ref="BL11:BM15">AVERAGE(BU3,CG3)</f>
        <v>115.68943586744867</v>
      </c>
      <c r="BM11" s="13">
        <f t="shared" si="5"/>
        <v>141.9655225085449</v>
      </c>
      <c r="BN11" s="7">
        <f>AVERAGE(BK3,BW3)</f>
        <v>113.97621213135113</v>
      </c>
      <c r="BO11" s="7">
        <f aca="true" t="shared" si="6" ref="BO11:BS15">AVERAGE(BL3,BX3)</f>
        <v>90.64292896553263</v>
      </c>
      <c r="BP11" s="7">
        <f t="shared" si="6"/>
        <v>98.09079599964716</v>
      </c>
      <c r="BQ11" s="7">
        <f t="shared" si="6"/>
        <v>76.5816418180895</v>
      </c>
      <c r="BR11" s="7">
        <f t="shared" si="6"/>
        <v>56.719468292898576</v>
      </c>
      <c r="BS11" s="7">
        <f t="shared" si="6"/>
        <v>47.97194986248859</v>
      </c>
      <c r="BT11" s="7">
        <f aca="true" t="shared" si="7" ref="BT11:BV15">AVERAGE(BQ3,CC3)</f>
        <v>59.17804619863938</v>
      </c>
      <c r="BU11" s="7">
        <f t="shared" si="7"/>
        <v>48.762528650725955</v>
      </c>
      <c r="BV11" s="7">
        <f t="shared" si="7"/>
        <v>46.754481908109184</v>
      </c>
    </row>
    <row r="12" spans="1:74" ht="12.75">
      <c r="A12" t="s">
        <v>152</v>
      </c>
      <c r="B12" t="s">
        <v>253</v>
      </c>
      <c r="C12" s="7">
        <v>47.7645867797148</v>
      </c>
      <c r="D12" s="7">
        <v>74.8178357270084</v>
      </c>
      <c r="E12" s="7">
        <v>79.2799922788966</v>
      </c>
      <c r="F12" s="7">
        <v>93.1616184861089</v>
      </c>
      <c r="G12" s="7">
        <v>75.4935089317088</v>
      </c>
      <c r="H12" s="7">
        <v>43.4073494946626</v>
      </c>
      <c r="I12" s="7">
        <v>49.238747377123</v>
      </c>
      <c r="J12" s="7">
        <v>37.8600991144767</v>
      </c>
      <c r="K12" s="7">
        <v>69.6056935395482</v>
      </c>
      <c r="L12" s="7">
        <v>75.7399051288716</v>
      </c>
      <c r="M12" s="7">
        <v>104.384099741691</v>
      </c>
      <c r="N12" s="7">
        <v>83.6784854531584</v>
      </c>
      <c r="O12" s="7">
        <v>84.0481540985481</v>
      </c>
      <c r="P12" s="7">
        <v>67.4854128043409</v>
      </c>
      <c r="Q12" s="7">
        <v>76.8612920873877</v>
      </c>
      <c r="R12" s="7">
        <v>93.1837158566423</v>
      </c>
      <c r="S12" s="7">
        <v>59.8117432833569</v>
      </c>
      <c r="T12" s="7">
        <v>38.3111916928788</v>
      </c>
      <c r="U12" s="7">
        <v>47.6504006875384</v>
      </c>
      <c r="V12" s="7">
        <v>35.7028522005297</v>
      </c>
      <c r="W12" s="7">
        <v>36.2956247573847</v>
      </c>
      <c r="X12" s="7">
        <v>33.170169658386</v>
      </c>
      <c r="Y12" s="7">
        <v>52.8660765433052</v>
      </c>
      <c r="Z12" s="7">
        <v>63.2010421202763</v>
      </c>
      <c r="AA12" s="15">
        <f>SUMPRODUCT(C12:Z12,Q_monthly_by_region!B12:Y12)/SUM(Q_monthly_by_region!B12:Y12)</f>
        <v>71.80842697572514</v>
      </c>
      <c r="AB12" s="3" t="str">
        <f t="shared" si="1"/>
        <v>'PN',</v>
      </c>
      <c r="AC12" s="3" t="s">
        <v>613</v>
      </c>
      <c r="AD12" s="11">
        <f>SUMPRODUCT(C42:C46,Q_monthly_by_region!B37:B41)/SUM(Q_monthly_by_region!B37:B41)</f>
        <v>37.388698305377396</v>
      </c>
      <c r="AE12" s="11">
        <f>SUMPRODUCT(D42:D46,Q_monthly_by_region!C37:C41)/SUM(Q_monthly_by_region!C37:C41)</f>
        <v>13.003492094374506</v>
      </c>
      <c r="AF12" s="11">
        <f>SUMPRODUCT(E42:E46,Q_monthly_by_region!D37:D41)/SUM(Q_monthly_by_region!D37:D41)</f>
        <v>32.4701814342881</v>
      </c>
      <c r="AG12" s="11">
        <f>SUMPRODUCT(F42:F46,Q_monthly_by_region!E37:E41)/SUM(Q_monthly_by_region!E37:E41)</f>
        <v>25.18571163011774</v>
      </c>
      <c r="AH12" s="11">
        <f>SUMPRODUCT(G42:G46,Q_monthly_by_region!F37:F41)/SUM(Q_monthly_by_region!F37:F41)</f>
        <v>30.18747326831266</v>
      </c>
      <c r="AI12" s="11">
        <f>SUMPRODUCT(H42:H46,Q_monthly_by_region!G37:G41)/SUM(Q_monthly_by_region!G37:G41)</f>
        <v>84.84865967815357</v>
      </c>
      <c r="AJ12" s="11">
        <f>SUMPRODUCT(I42:I46,Q_monthly_by_region!H37:H41)/SUM(Q_monthly_by_region!H37:H41)</f>
        <v>34.48321464661459</v>
      </c>
      <c r="AK12" s="11">
        <f>SUMPRODUCT(J42:J46,Q_monthly_by_region!I37:I41)/SUM(Q_monthly_by_region!I37:I41)</f>
        <v>36.947674118879014</v>
      </c>
      <c r="AL12" s="11">
        <f>SUMPRODUCT(K42:K46,Q_monthly_by_region!J37:J41)/SUM(Q_monthly_by_region!J37:J41)</f>
        <v>33.87190969636442</v>
      </c>
      <c r="AM12" s="11">
        <f>SUMPRODUCT(L42:L46,Q_monthly_by_region!K37:K41)/SUM(Q_monthly_by_region!K37:K41)</f>
        <v>18.97875488046345</v>
      </c>
      <c r="AN12" s="11">
        <f>SUMPRODUCT(M42:M46,Q_monthly_by_region!L37:L41)/SUM(Q_monthly_by_region!L37:L41)</f>
        <v>26.957578739170327</v>
      </c>
      <c r="AO12" s="11">
        <f>SUMPRODUCT(N42:N46,Q_monthly_by_region!M37:M41)/SUM(Q_monthly_by_region!M37:M41)</f>
        <v>68.0454870812159</v>
      </c>
      <c r="AP12" s="11">
        <f>SUMPRODUCT(O42:O46,Q_monthly_by_region!N37:N41)/SUM(Q_monthly_by_region!N37:N41)</f>
        <v>33.12804804345702</v>
      </c>
      <c r="AQ12" s="11">
        <f>SUMPRODUCT(P42:P46,Q_monthly_by_region!O37:O41)/SUM(Q_monthly_by_region!O37:O41)</f>
        <v>25.97038289722914</v>
      </c>
      <c r="AR12" s="11">
        <f>SUMPRODUCT(Q42:Q46,Q_monthly_by_region!P37:P41)/SUM(Q_monthly_by_region!P37:P41)</f>
        <v>33.37522825801005</v>
      </c>
      <c r="AS12" s="11">
        <f>SUMPRODUCT(R42:R46,Q_monthly_by_region!Q37:Q41)/SUM(Q_monthly_by_region!Q37:Q41)</f>
        <v>23.621957081920126</v>
      </c>
      <c r="AT12" s="11">
        <f>SUMPRODUCT(S42:S46,Q_monthly_by_region!R37:R41)/SUM(Q_monthly_by_region!R37:R41)</f>
        <v>87.14000639413018</v>
      </c>
      <c r="AU12" s="11">
        <f>SUMPRODUCT(T42:T46,Q_monthly_by_region!S37:S41)/SUM(Q_monthly_by_region!S37:S41)</f>
        <v>46.10323120013662</v>
      </c>
      <c r="AV12" s="11">
        <f>SUMPRODUCT(U42:U46,Q_monthly_by_region!T37:T41)/SUM(Q_monthly_by_region!T37:T41)</f>
        <v>37.157893225077686</v>
      </c>
      <c r="AW12" s="11">
        <f>SUMPRODUCT(V42:V46,Q_monthly_by_region!U37:U41)/SUM(Q_monthly_by_region!U37:U41)</f>
        <v>66.30710340728068</v>
      </c>
      <c r="AX12" s="11">
        <f>SUMPRODUCT(W42:W46,Q_monthly_by_region!V37:V41)/SUM(Q_monthly_by_region!V37:V41)</f>
        <v>29.786939896531333</v>
      </c>
      <c r="AY12" s="11">
        <f>SUMPRODUCT(X42:X46,Q_monthly_by_region!W37:W41)/SUM(Q_monthly_by_region!W37:W41)</f>
        <v>19.389865201866915</v>
      </c>
      <c r="AZ12" s="11">
        <f>SUMPRODUCT(Y42:Y46,Q_monthly_by_region!X37:X41)/SUM(Q_monthly_by_region!X37:X41)</f>
        <v>165.71096817151727</v>
      </c>
      <c r="BA12" s="11">
        <f>SUMPRODUCT(Z42:Z46,Q_monthly_by_region!Y37:Y41)/SUM(Q_monthly_by_region!Y37:Y41)</f>
        <v>11.54728371299037</v>
      </c>
      <c r="BJ12" s="11" t="s">
        <v>164</v>
      </c>
      <c r="BK12" s="13">
        <f>AVERAGE(BT4,CF4)</f>
        <v>26.949252414137078</v>
      </c>
      <c r="BL12" s="13">
        <f t="shared" si="5"/>
        <v>41.554220663320166</v>
      </c>
      <c r="BM12" s="13">
        <f t="shared" si="5"/>
        <v>61.93676557777202</v>
      </c>
      <c r="BN12" s="7">
        <f>AVERAGE(BK4,BW4)</f>
        <v>28.031204110984973</v>
      </c>
      <c r="BO12" s="7">
        <f t="shared" si="6"/>
        <v>30.139466185853593</v>
      </c>
      <c r="BP12" s="7">
        <f t="shared" si="6"/>
        <v>70.21820919916367</v>
      </c>
      <c r="BQ12" s="7">
        <f t="shared" si="6"/>
        <v>53.404765930317026</v>
      </c>
      <c r="BR12" s="7">
        <f t="shared" si="6"/>
        <v>42.418413992705624</v>
      </c>
      <c r="BS12" s="7">
        <f t="shared" si="6"/>
        <v>46.735238156825275</v>
      </c>
      <c r="BT12" s="7">
        <f t="shared" si="7"/>
        <v>32.80222368064476</v>
      </c>
      <c r="BU12" s="7">
        <f t="shared" si="7"/>
        <v>38.736609119576016</v>
      </c>
      <c r="BV12" s="7">
        <f t="shared" si="7"/>
        <v>36.88573426424042</v>
      </c>
    </row>
    <row r="13" spans="1:74" ht="12.75">
      <c r="A13" t="s">
        <v>152</v>
      </c>
      <c r="B13" t="s">
        <v>149</v>
      </c>
      <c r="C13" s="7">
        <v>110.969453739474</v>
      </c>
      <c r="D13" s="7">
        <v>75.7257789005149</v>
      </c>
      <c r="E13" s="7">
        <v>118.614931249041</v>
      </c>
      <c r="F13" s="7">
        <v>94.3015386804083</v>
      </c>
      <c r="G13" s="7">
        <v>90.7041510899425</v>
      </c>
      <c r="H13" s="7">
        <v>95.9021570028891</v>
      </c>
      <c r="I13" s="7">
        <v>92.3988136173559</v>
      </c>
      <c r="J13" s="7">
        <v>85.0402751021333</v>
      </c>
      <c r="K13" s="7">
        <v>74.5342732265126</v>
      </c>
      <c r="L13" s="7">
        <v>88.1708958604521</v>
      </c>
      <c r="M13" s="7">
        <v>149.098997063624</v>
      </c>
      <c r="N13" s="7">
        <v>174.285696874494</v>
      </c>
      <c r="O13" s="7">
        <v>95.1510310825577</v>
      </c>
      <c r="P13" s="7">
        <v>90.6025338824163</v>
      </c>
      <c r="Q13" s="7">
        <v>161.254689760447</v>
      </c>
      <c r="R13" s="7">
        <v>48.0219129839668</v>
      </c>
      <c r="S13" s="7">
        <v>69.5484315114061</v>
      </c>
      <c r="T13" s="7">
        <v>66.8730445108239</v>
      </c>
      <c r="U13" s="7">
        <v>89.4182067264734</v>
      </c>
      <c r="V13" s="7">
        <v>79.8275052474567</v>
      </c>
      <c r="W13" s="7">
        <v>60.0271012152859</v>
      </c>
      <c r="X13" s="7">
        <v>55.5634659429239</v>
      </c>
      <c r="Y13" s="7">
        <v>85.3970762333735</v>
      </c>
      <c r="Z13" s="7">
        <v>105.515862571402</v>
      </c>
      <c r="AA13" s="15">
        <f>SUMPRODUCT(C13:Z13,Q_monthly_by_region!B13:Y13)/SUM(Q_monthly_by_region!B13:Y13)</f>
        <v>105.56195377054559</v>
      </c>
      <c r="AB13" s="3" t="str">
        <f t="shared" si="1"/>
        <v>'POC',</v>
      </c>
      <c r="AC13" s="3" t="s">
        <v>789</v>
      </c>
      <c r="AD13" s="11">
        <f>SUMPRODUCT(C47:C51,Q_monthly_by_region!B37:B41)/SUM(Q_monthly_by_region!B37:B41)</f>
        <v>423.67600061798356</v>
      </c>
      <c r="AE13" s="11">
        <f>SUMPRODUCT(D47:D51,Q_monthly_by_region!C37:C41)/SUM(Q_monthly_by_region!C37:C41)</f>
        <v>195.43563608761602</v>
      </c>
      <c r="AF13" s="11">
        <f>SUMPRODUCT(E47:E51,Q_monthly_by_region!D37:D41)/SUM(Q_monthly_by_region!D37:D41)</f>
        <v>246.02414459614124</v>
      </c>
      <c r="AG13" s="11">
        <f>SUMPRODUCT(F47:F51,Q_monthly_by_region!E37:E41)/SUM(Q_monthly_by_region!E37:E41)</f>
        <v>263.0927761729297</v>
      </c>
      <c r="AH13" s="11">
        <f>SUMPRODUCT(G47:G51,Q_monthly_by_region!F37:F41)/SUM(Q_monthly_by_region!F37:F41)</f>
        <v>222.80980702540586</v>
      </c>
      <c r="AI13" s="11">
        <f>SUMPRODUCT(H47:H51,Q_monthly_by_region!G37:G41)/SUM(Q_monthly_by_region!G37:G41)</f>
        <v>897.9408708183925</v>
      </c>
      <c r="AJ13" s="11">
        <f>SUMPRODUCT(I47:I51,Q_monthly_by_region!H37:H41)/SUM(Q_monthly_by_region!H37:H41)</f>
        <v>449.4325857491617</v>
      </c>
      <c r="AK13" s="11">
        <f>SUMPRODUCT(J47:J51,Q_monthly_by_region!I37:I41)/SUM(Q_monthly_by_region!I37:I41)</f>
        <v>399.77342401744596</v>
      </c>
      <c r="AL13" s="11">
        <f>SUMPRODUCT(K47:K51,Q_monthly_by_region!J37:J41)/SUM(Q_monthly_by_region!J37:J41)</f>
        <v>282.82929998931587</v>
      </c>
      <c r="AM13" s="11">
        <f>SUMPRODUCT(L47:L51,Q_monthly_by_region!K37:K41)/SUM(Q_monthly_by_region!K37:K41)</f>
        <v>175.06415582810806</v>
      </c>
      <c r="AN13" s="11">
        <f>SUMPRODUCT(M47:M51,Q_monthly_by_region!L37:L41)/SUM(Q_monthly_by_region!L37:L41)</f>
        <v>267.55461229316995</v>
      </c>
      <c r="AO13" s="11">
        <f>SUMPRODUCT(N47:N51,Q_monthly_by_region!M37:M41)/SUM(Q_monthly_by_region!M37:M41)</f>
        <v>732.9473837213119</v>
      </c>
      <c r="AP13" s="11">
        <f>SUMPRODUCT(O47:O51,Q_monthly_by_region!N37:N41)/SUM(Q_monthly_by_region!N37:N41)</f>
        <v>244.7298758722698</v>
      </c>
      <c r="AQ13" s="11">
        <f>SUMPRODUCT(P47:P51,Q_monthly_by_region!O37:O41)/SUM(Q_monthly_by_region!O37:O41)</f>
        <v>217.213454307986</v>
      </c>
      <c r="AR13" s="11">
        <f>SUMPRODUCT(Q47:Q51,Q_monthly_by_region!P37:P41)/SUM(Q_monthly_by_region!P37:P41)</f>
        <v>368.58812429505554</v>
      </c>
      <c r="AS13" s="11">
        <f>SUMPRODUCT(R47:R51,Q_monthly_by_region!Q37:Q41)/SUM(Q_monthly_by_region!Q37:Q41)</f>
        <v>252.70767494833743</v>
      </c>
      <c r="AT13" s="11">
        <f>SUMPRODUCT(S47:S51,Q_monthly_by_region!R37:R41)/SUM(Q_monthly_by_region!R37:R41)</f>
        <v>428.9487949023482</v>
      </c>
      <c r="AU13" s="11">
        <f>SUMPRODUCT(T47:T51,Q_monthly_by_region!S37:S41)/SUM(Q_monthly_by_region!S37:S41)</f>
        <v>413.85460313574737</v>
      </c>
      <c r="AV13" s="11">
        <f>SUMPRODUCT(U47:U51,Q_monthly_by_region!T37:T41)/SUM(Q_monthly_by_region!T37:T41)</f>
        <v>325.5592156109418</v>
      </c>
      <c r="AW13" s="11">
        <f>SUMPRODUCT(V47:V51,Q_monthly_by_region!U37:U41)/SUM(Q_monthly_by_region!U37:U41)</f>
        <v>609.0687030300649</v>
      </c>
      <c r="AX13" s="11">
        <f>SUMPRODUCT(W47:W51,Q_monthly_by_region!V37:V41)/SUM(Q_monthly_by_region!V37:V41)</f>
        <v>236.23152283138117</v>
      </c>
      <c r="AY13" s="11">
        <f>SUMPRODUCT(X47:X51,Q_monthly_by_region!W37:W41)/SUM(Q_monthly_by_region!W37:W41)</f>
        <v>231.8293199783578</v>
      </c>
      <c r="AZ13" s="11">
        <f>SUMPRODUCT(Y47:Y51,Q_monthly_by_region!X37:X41)/SUM(Q_monthly_by_region!X37:X41)</f>
        <v>1941.759564253921</v>
      </c>
      <c r="BA13" s="11">
        <f>SUMPRODUCT(Z47:Z51,Q_monthly_by_region!Y37:Y41)/SUM(Q_monthly_by_region!Y37:Y41)</f>
        <v>154.42685490246222</v>
      </c>
      <c r="BJ13" s="11" t="s">
        <v>613</v>
      </c>
      <c r="BK13" s="13">
        <f>AVERAGE(BT5,CF5)</f>
        <v>19.184310041165183</v>
      </c>
      <c r="BL13" s="13">
        <f t="shared" si="5"/>
        <v>96.33427345534379</v>
      </c>
      <c r="BM13" s="13">
        <f t="shared" si="5"/>
        <v>39.79638539710313</v>
      </c>
      <c r="BN13" s="7">
        <f>AVERAGE(BK5,BW5)</f>
        <v>35.25837317441721</v>
      </c>
      <c r="BO13" s="7">
        <f t="shared" si="6"/>
        <v>19.486937495801822</v>
      </c>
      <c r="BP13" s="7">
        <f t="shared" si="6"/>
        <v>32.922704846149074</v>
      </c>
      <c r="BQ13" s="7">
        <f t="shared" si="6"/>
        <v>24.403834356018933</v>
      </c>
      <c r="BR13" s="7">
        <f t="shared" si="6"/>
        <v>58.66373983122142</v>
      </c>
      <c r="BS13" s="7">
        <f t="shared" si="6"/>
        <v>65.4759454391451</v>
      </c>
      <c r="BT13" s="7">
        <f t="shared" si="7"/>
        <v>35.820553935846135</v>
      </c>
      <c r="BU13" s="7">
        <f t="shared" si="7"/>
        <v>51.62738876307985</v>
      </c>
      <c r="BV13" s="7">
        <f t="shared" si="7"/>
        <v>31.829424796447874</v>
      </c>
    </row>
    <row r="14" spans="1:74" ht="12.75">
      <c r="A14" t="s">
        <v>152</v>
      </c>
      <c r="B14" t="s">
        <v>254</v>
      </c>
      <c r="C14" s="7">
        <v>275.501283417812</v>
      </c>
      <c r="D14" s="7">
        <v>197.707839514857</v>
      </c>
      <c r="E14" s="7">
        <v>265.045760495745</v>
      </c>
      <c r="F14" s="7">
        <v>216.794219468906</v>
      </c>
      <c r="G14" s="7">
        <v>180.47310040596</v>
      </c>
      <c r="H14" s="7">
        <v>221.891363020853</v>
      </c>
      <c r="I14" s="7">
        <v>189.994751408188</v>
      </c>
      <c r="J14" s="7">
        <v>184.501584661674</v>
      </c>
      <c r="K14" s="7">
        <v>168.231123829859</v>
      </c>
      <c r="L14" s="7">
        <v>212.408898570094</v>
      </c>
      <c r="M14" s="7">
        <v>379.575829614859</v>
      </c>
      <c r="N14" s="7">
        <v>569.325205062122</v>
      </c>
      <c r="O14" s="7">
        <v>274.261018586504</v>
      </c>
      <c r="P14" s="7">
        <v>250.241979983623</v>
      </c>
      <c r="Q14" s="7">
        <v>237.920745115287</v>
      </c>
      <c r="R14" s="7">
        <v>177.68446737694</v>
      </c>
      <c r="S14" s="7">
        <v>219.639689656783</v>
      </c>
      <c r="T14" s="7">
        <v>170.654868239838</v>
      </c>
      <c r="U14" s="7">
        <v>199.667725660686</v>
      </c>
      <c r="V14" s="7">
        <v>175.435258052795</v>
      </c>
      <c r="W14" s="7">
        <v>187.711974404903</v>
      </c>
      <c r="X14" s="7">
        <v>211.805103117113</v>
      </c>
      <c r="Y14" s="7">
        <v>339.654265513606</v>
      </c>
      <c r="Z14" s="7">
        <v>331.486585954978</v>
      </c>
      <c r="AA14" s="15">
        <f>SUMPRODUCT(C14:Z14,Q_monthly_by_region!B14:Y14)/SUM(Q_monthly_by_region!B14:Y14)</f>
        <v>282.5765581042501</v>
      </c>
      <c r="AB14" s="3" t="str">
        <f t="shared" si="1"/>
        <v>'TN',</v>
      </c>
      <c r="AC14" s="3" t="s">
        <v>790</v>
      </c>
      <c r="AD14" s="11">
        <f>SUMPRODUCT(C52:C56,Q_monthly_by_region!B37:B41)/SUM(Q_monthly_by_region!B37:B41)</f>
        <v>216.17746777674913</v>
      </c>
      <c r="AE14" s="11">
        <f>SUMPRODUCT(D52:D56,Q_monthly_by_region!C37:C41)/SUM(Q_monthly_by_region!C37:C41)</f>
        <v>143.12049981915123</v>
      </c>
      <c r="AF14" s="11">
        <f>SUMPRODUCT(E52:E56,Q_monthly_by_region!D37:D41)/SUM(Q_monthly_by_region!D37:D41)</f>
        <v>245.82048956841467</v>
      </c>
      <c r="AG14" s="11">
        <f>SUMPRODUCT(F52:F56,Q_monthly_by_region!E37:E41)/SUM(Q_monthly_by_region!E37:E41)</f>
        <v>199.09061605691556</v>
      </c>
      <c r="AH14" s="11">
        <f>SUMPRODUCT(G52:G56,Q_monthly_by_region!F37:F41)/SUM(Q_monthly_by_region!F37:F41)</f>
        <v>146.92449947401445</v>
      </c>
      <c r="AI14" s="11">
        <f>SUMPRODUCT(H52:H56,Q_monthly_by_region!G37:G41)/SUM(Q_monthly_by_region!G37:G41)</f>
        <v>235.94522299262178</v>
      </c>
      <c r="AJ14" s="11">
        <f>SUMPRODUCT(I52:I56,Q_monthly_by_region!H37:H41)/SUM(Q_monthly_by_region!H37:H41)</f>
        <v>169.7576209028712</v>
      </c>
      <c r="AK14" s="11">
        <f>SUMPRODUCT(J52:J56,Q_monthly_by_region!I37:I41)/SUM(Q_monthly_by_region!I37:I41)</f>
        <v>144.177354260252</v>
      </c>
      <c r="AL14" s="11">
        <f>SUMPRODUCT(K52:K56,Q_monthly_by_region!J37:J41)/SUM(Q_monthly_by_region!J37:J41)</f>
        <v>131.19102406904577</v>
      </c>
      <c r="AM14" s="11">
        <f>SUMPRODUCT(L52:L56,Q_monthly_by_region!K37:K41)/SUM(Q_monthly_by_region!K37:K41)</f>
        <v>120.900662479163</v>
      </c>
      <c r="AN14" s="11">
        <f>SUMPRODUCT(M52:M56,Q_monthly_by_region!L37:L41)/SUM(Q_monthly_by_region!L37:L41)</f>
        <v>216.27956724159887</v>
      </c>
      <c r="AO14" s="11">
        <f>SUMPRODUCT(N52:N56,Q_monthly_by_region!M37:M41)/SUM(Q_monthly_by_region!M37:M41)</f>
        <v>311.6486456188782</v>
      </c>
      <c r="AP14" s="11">
        <f>SUMPRODUCT(O52:O56,Q_monthly_by_region!N37:N41)/SUM(Q_monthly_by_region!N37:N41)</f>
        <v>158.2168395260874</v>
      </c>
      <c r="AQ14" s="11">
        <f>SUMPRODUCT(P52:P56,Q_monthly_by_region!O37:O41)/SUM(Q_monthly_by_region!O37:O41)</f>
        <v>148.76938985796824</v>
      </c>
      <c r="AR14" s="11">
        <f>SUMPRODUCT(Q52:Q56,Q_monthly_by_region!P37:P41)/SUM(Q_monthly_by_region!P37:P41)</f>
        <v>171.00326565190292</v>
      </c>
      <c r="AS14" s="11">
        <f>SUMPRODUCT(R52:R56,Q_monthly_by_region!Q37:Q41)/SUM(Q_monthly_by_region!Q37:Q41)</f>
        <v>128.531395334211</v>
      </c>
      <c r="AT14" s="11">
        <f>SUMPRODUCT(S52:S56,Q_monthly_by_region!R37:R41)/SUM(Q_monthly_by_region!R37:R41)</f>
        <v>178.25772064967174</v>
      </c>
      <c r="AU14" s="11">
        <f>SUMPRODUCT(T52:T56,Q_monthly_by_region!S37:S41)/SUM(Q_monthly_by_region!S37:S41)</f>
        <v>100.36316821675213</v>
      </c>
      <c r="AV14" s="11">
        <f>SUMPRODUCT(U52:U56,Q_monthly_by_region!T37:T41)/SUM(Q_monthly_by_region!T37:T41)</f>
        <v>115.71131722284929</v>
      </c>
      <c r="AW14" s="11">
        <f>SUMPRODUCT(V52:V56,Q_monthly_by_region!U37:U41)/SUM(Q_monthly_by_region!U37:U41)</f>
        <v>151.29233673440754</v>
      </c>
      <c r="AX14" s="11">
        <f>SUMPRODUCT(W52:W56,Q_monthly_by_region!V37:V41)/SUM(Q_monthly_by_region!V37:V41)</f>
        <v>128.92674342151713</v>
      </c>
      <c r="AY14" s="11">
        <f>SUMPRODUCT(X52:X56,Q_monthly_by_region!W37:W41)/SUM(Q_monthly_by_region!W37:W41)</f>
        <v>132.20404821821603</v>
      </c>
      <c r="AZ14" s="11">
        <f>SUMPRODUCT(Y52:Y56,Q_monthly_by_region!X37:X41)/SUM(Q_monthly_by_region!X37:X41)</f>
        <v>323.3112905440844</v>
      </c>
      <c r="BA14" s="11">
        <f>SUMPRODUCT(Z52:Z56,Q_monthly_by_region!Y37:Y41)/SUM(Q_monthly_by_region!Y37:Y41)</f>
        <v>208.4623366416913</v>
      </c>
      <c r="BJ14" s="11" t="s">
        <v>145</v>
      </c>
      <c r="BK14" s="13">
        <f>AVERAGE(BT6,CF6)</f>
        <v>16.16617952294651</v>
      </c>
      <c r="BL14" s="13">
        <f t="shared" si="5"/>
        <v>12.553420030489853</v>
      </c>
      <c r="BM14" s="13">
        <f t="shared" si="5"/>
        <v>15.339385817991104</v>
      </c>
      <c r="BN14" s="7">
        <f>AVERAGE(BK6,BW6)</f>
        <v>9.503745798171167</v>
      </c>
      <c r="BO14" s="7">
        <f t="shared" si="6"/>
        <v>5.291792118386377</v>
      </c>
      <c r="BP14" s="7">
        <f t="shared" si="6"/>
        <v>6.4659677135128355</v>
      </c>
      <c r="BQ14" s="7">
        <f t="shared" si="6"/>
        <v>8.847980843322818</v>
      </c>
      <c r="BR14" s="7">
        <f t="shared" si="6"/>
        <v>6.291608080761158</v>
      </c>
      <c r="BS14" s="7">
        <f t="shared" si="6"/>
        <v>7.3329414919308675</v>
      </c>
      <c r="BT14" s="7">
        <f t="shared" si="7"/>
        <v>8.59443883785347</v>
      </c>
      <c r="BU14" s="7">
        <f t="shared" si="7"/>
        <v>7.94463984050525</v>
      </c>
      <c r="BV14" s="7">
        <f t="shared" si="7"/>
        <v>12.449394366129521</v>
      </c>
    </row>
    <row r="15" spans="1:74" ht="12.75">
      <c r="A15" t="s">
        <v>152</v>
      </c>
      <c r="B15" t="s">
        <v>255</v>
      </c>
      <c r="C15" s="7">
        <v>554.615809335205</v>
      </c>
      <c r="D15" s="7">
        <v>361.646366170581</v>
      </c>
      <c r="E15" s="7">
        <v>443.073191243529</v>
      </c>
      <c r="F15" s="7">
        <v>411.335864781405</v>
      </c>
      <c r="G15" s="7">
        <v>394.702687766919</v>
      </c>
      <c r="H15" s="7">
        <v>474.112302506975</v>
      </c>
      <c r="I15" s="7">
        <v>327.994358122278</v>
      </c>
      <c r="J15" s="7">
        <v>349.965578073317</v>
      </c>
      <c r="K15" s="7">
        <v>299.285263598475</v>
      </c>
      <c r="L15" s="7">
        <v>303.405448153006</v>
      </c>
      <c r="M15" s="7">
        <v>687.210269058633</v>
      </c>
      <c r="N15" s="7">
        <v>812.254016792128</v>
      </c>
      <c r="O15" s="7">
        <v>376.867819565069</v>
      </c>
      <c r="P15" s="7">
        <v>380.882345227651</v>
      </c>
      <c r="Q15" s="7">
        <v>346.934134484252</v>
      </c>
      <c r="R15" s="7">
        <v>314.807889707856</v>
      </c>
      <c r="S15" s="7">
        <v>364.463902830334</v>
      </c>
      <c r="T15" s="7">
        <v>326.99594032363</v>
      </c>
      <c r="U15" s="7">
        <v>314.821960386861</v>
      </c>
      <c r="V15" s="7">
        <v>322.198737430739</v>
      </c>
      <c r="W15" s="7">
        <v>327.266996822255</v>
      </c>
      <c r="X15" s="7">
        <v>345.749765748609</v>
      </c>
      <c r="Y15" s="7">
        <v>408.234553685251</v>
      </c>
      <c r="Z15" s="7">
        <v>456.119328750985</v>
      </c>
      <c r="AA15" s="15">
        <f>SUMPRODUCT(C15:Z15,Q_monthly_by_region!B15:Y15)/SUM(Q_monthly_by_region!B15:Y15)</f>
        <v>451.6858273580141</v>
      </c>
      <c r="AB15" s="3" t="str">
        <f t="shared" si="1"/>
        <v>'TOC',</v>
      </c>
      <c r="AC15" s="3" t="s">
        <v>791</v>
      </c>
      <c r="AD15" s="11">
        <f>SUMPRODUCT(C57:C61,Q_monthly_by_region!B37:B41)/SUM(Q_monthly_by_region!B37:B41)</f>
        <v>1517.219960455644</v>
      </c>
      <c r="AE15" s="11">
        <f>SUMPRODUCT(D57:D61,Q_monthly_by_region!C37:C41)/SUM(Q_monthly_by_region!C37:C41)</f>
        <v>937.8295800603127</v>
      </c>
      <c r="AF15" s="11">
        <f>SUMPRODUCT(E57:E61,Q_monthly_by_region!D37:D41)/SUM(Q_monthly_by_region!D37:D41)</f>
        <v>1359.1565048775208</v>
      </c>
      <c r="AG15" s="11">
        <f>SUMPRODUCT(F57:F61,Q_monthly_by_region!E37:E41)/SUM(Q_monthly_by_region!E37:E41)</f>
        <v>1390.3798000227737</v>
      </c>
      <c r="AH15" s="11">
        <f>SUMPRODUCT(G57:G61,Q_monthly_by_region!F37:F41)/SUM(Q_monthly_by_region!F37:F41)</f>
        <v>1123.37697343017</v>
      </c>
      <c r="AI15" s="11">
        <f>SUMPRODUCT(H57:H61,Q_monthly_by_region!G37:G41)/SUM(Q_monthly_by_region!G37:G41)</f>
        <v>1796.4933709466372</v>
      </c>
      <c r="AJ15" s="11">
        <f>SUMPRODUCT(I57:I61,Q_monthly_by_region!H37:H41)/SUM(Q_monthly_by_region!H37:H41)</f>
        <v>1131.610085505572</v>
      </c>
      <c r="AK15" s="11">
        <f>SUMPRODUCT(J57:J61,Q_monthly_by_region!I37:I41)/SUM(Q_monthly_by_region!I37:I41)</f>
        <v>1014.197664233021</v>
      </c>
      <c r="AL15" s="11">
        <f>SUMPRODUCT(K57:K61,Q_monthly_by_region!J37:J41)/SUM(Q_monthly_by_region!J37:J41)</f>
        <v>999.0200460222862</v>
      </c>
      <c r="AM15" s="11">
        <f>SUMPRODUCT(L57:L61,Q_monthly_by_region!K37:K41)/SUM(Q_monthly_by_region!K37:K41)</f>
        <v>966.5110283025689</v>
      </c>
      <c r="AN15" s="11">
        <f>SUMPRODUCT(M57:M61,Q_monthly_by_region!L37:L41)/SUM(Q_monthly_by_region!L37:L41)</f>
        <v>1163.7187044043144</v>
      </c>
      <c r="AO15" s="11">
        <f>SUMPRODUCT(N57:N61,Q_monthly_by_region!M37:M41)/SUM(Q_monthly_by_region!M37:M41)</f>
        <v>2178.8862906982017</v>
      </c>
      <c r="AP15" s="11">
        <f>SUMPRODUCT(O57:O61,Q_monthly_by_region!N37:N41)/SUM(Q_monthly_by_region!N37:N41)</f>
        <v>1060.5867771680803</v>
      </c>
      <c r="AQ15" s="11">
        <f>SUMPRODUCT(P57:P61,Q_monthly_by_region!O37:O41)/SUM(Q_monthly_by_region!O37:O41)</f>
        <v>846.1546768058354</v>
      </c>
      <c r="AR15" s="11">
        <f>SUMPRODUCT(Q57:Q61,Q_monthly_by_region!P37:P41)/SUM(Q_monthly_by_region!P37:P41)</f>
        <v>1303.6906039016103</v>
      </c>
      <c r="AS15" s="11">
        <f>SUMPRODUCT(R57:R61,Q_monthly_by_region!Q37:Q41)/SUM(Q_monthly_by_region!Q37:Q41)</f>
        <v>1020.2671956980167</v>
      </c>
      <c r="AT15" s="11">
        <f>SUMPRODUCT(S57:S61,Q_monthly_by_region!R37:R41)/SUM(Q_monthly_by_region!R37:R41)</f>
        <v>1237.082246692583</v>
      </c>
      <c r="AU15" s="11">
        <f>SUMPRODUCT(T57:T61,Q_monthly_by_region!S37:S41)/SUM(Q_monthly_by_region!S37:S41)</f>
        <v>1161.7757355722972</v>
      </c>
      <c r="AV15" s="11">
        <f>SUMPRODUCT(U57:U61,Q_monthly_by_region!T37:T41)/SUM(Q_monthly_by_region!T37:T41)</f>
        <v>870.6089504302365</v>
      </c>
      <c r="AW15" s="11">
        <f>SUMPRODUCT(V57:V61,Q_monthly_by_region!U37:U41)/SUM(Q_monthly_by_region!U37:U41)</f>
        <v>1170.8138265984142</v>
      </c>
      <c r="AX15" s="11">
        <f>SUMPRODUCT(W57:W61,Q_monthly_by_region!V37:V41)/SUM(Q_monthly_by_region!V37:V41)</f>
        <v>828.346383276659</v>
      </c>
      <c r="AY15" s="11">
        <f>SUMPRODUCT(X57:X61,Q_monthly_by_region!W37:W41)/SUM(Q_monthly_by_region!W37:W41)</f>
        <v>820.2108621912674</v>
      </c>
      <c r="AZ15" s="11">
        <f>SUMPRODUCT(Y57:Y61,Q_monthly_by_region!X37:X41)/SUM(Q_monthly_by_region!X37:X41)</f>
        <v>3323.5823105963445</v>
      </c>
      <c r="BA15" s="11">
        <f>SUMPRODUCT(Z57:Z61,Q_monthly_by_region!Y37:Y41)/SUM(Q_monthly_by_region!Y37:Y41)</f>
        <v>1679.4249406150464</v>
      </c>
      <c r="BJ15" s="11" t="s">
        <v>146</v>
      </c>
      <c r="BK15" s="13">
        <f>AVERAGE(BT7,CF7)</f>
        <v>0.9136718817275351</v>
      </c>
      <c r="BL15" s="13">
        <f t="shared" si="5"/>
        <v>3.65903056875462</v>
      </c>
      <c r="BM15" s="13">
        <f t="shared" si="5"/>
        <v>0.919479491058804</v>
      </c>
      <c r="BN15" s="7">
        <f>AVERAGE(BK7,BW7)</f>
        <v>0.4370993461884577</v>
      </c>
      <c r="BO15" s="7">
        <f t="shared" si="6"/>
        <v>0.35022981633414263</v>
      </c>
      <c r="BP15" s="7">
        <f t="shared" si="6"/>
        <v>0.7141998516861061</v>
      </c>
      <c r="BQ15" s="7">
        <f t="shared" si="6"/>
        <v>0.5090945719990402</v>
      </c>
      <c r="BR15" s="7">
        <f t="shared" si="6"/>
        <v>0.7611184974243983</v>
      </c>
      <c r="BS15" s="7">
        <f t="shared" si="6"/>
        <v>0.6225399683589131</v>
      </c>
      <c r="BT15" s="7">
        <f t="shared" si="7"/>
        <v>0.5437368825423095</v>
      </c>
      <c r="BU15" s="7">
        <f t="shared" si="7"/>
        <v>0.6032700877212882</v>
      </c>
      <c r="BV15" s="7">
        <f t="shared" si="7"/>
        <v>2.1307654096985758</v>
      </c>
    </row>
    <row r="16" spans="1:73" ht="12.75">
      <c r="A16" t="s">
        <v>152</v>
      </c>
      <c r="B16" t="s">
        <v>256</v>
      </c>
      <c r="C16" s="7">
        <v>86.0168589848208</v>
      </c>
      <c r="D16" s="7">
        <v>57.6101474429111</v>
      </c>
      <c r="E16" s="7">
        <v>161.613780827629</v>
      </c>
      <c r="F16" s="7">
        <v>137.143301669276</v>
      </c>
      <c r="G16" s="7">
        <v>68.7308948408904</v>
      </c>
      <c r="H16" s="7">
        <v>68.3825738695996</v>
      </c>
      <c r="I16" s="7">
        <v>74.337460923439</v>
      </c>
      <c r="J16" s="7">
        <v>59.2167405393132</v>
      </c>
      <c r="K16" s="7">
        <v>86.5510612983204</v>
      </c>
      <c r="L16" s="7">
        <v>69.797296331536</v>
      </c>
      <c r="M16" s="7">
        <v>125.261448333666</v>
      </c>
      <c r="N16" s="7">
        <v>187.201016984585</v>
      </c>
      <c r="O16" s="7">
        <v>91.7954799875317</v>
      </c>
      <c r="P16" s="7">
        <v>93.0843424347077</v>
      </c>
      <c r="Q16" s="7">
        <v>108.986887897144</v>
      </c>
      <c r="R16" s="7">
        <v>92.9154152573697</v>
      </c>
      <c r="S16" s="7">
        <v>73.353639792274</v>
      </c>
      <c r="T16" s="7">
        <v>32.1630009747176</v>
      </c>
      <c r="U16" s="7">
        <v>53.4245662243835</v>
      </c>
      <c r="V16" s="7">
        <v>44.7041013577687</v>
      </c>
      <c r="W16" s="7">
        <v>72.3887368770799</v>
      </c>
      <c r="X16" s="7">
        <v>87.0496874419263</v>
      </c>
      <c r="Y16" s="7">
        <v>186.465364778081</v>
      </c>
      <c r="Z16" s="7">
        <v>163.954385358673</v>
      </c>
      <c r="AA16" s="15">
        <f>SUMPRODUCT(C16:Z16,Q_monthly_by_region!B16:Y16)/SUM(Q_monthly_by_region!B16:Y16)</f>
        <v>108.00704757222724</v>
      </c>
      <c r="AB16" s="3" t="str">
        <f t="shared" si="1"/>
        <v>'TON',</v>
      </c>
      <c r="AC16" s="3" t="s">
        <v>792</v>
      </c>
      <c r="AD16" s="11">
        <f>SUMPRODUCT(C67:C71,Q_monthly_by_region!B37:B41)/SUM(Q_monthly_by_region!B37:B41)</f>
        <v>70.2663336801646</v>
      </c>
      <c r="AE16" s="11">
        <f>SUMPRODUCT(D67:D71,Q_monthly_by_region!C37:C41)/SUM(Q_monthly_by_region!C37:C41)</f>
        <v>43.39927868696825</v>
      </c>
      <c r="AF16" s="11">
        <f>SUMPRODUCT(E67:E71,Q_monthly_by_region!D37:D41)/SUM(Q_monthly_by_region!D37:D41)</f>
        <v>86.42655888287582</v>
      </c>
      <c r="AG16" s="11">
        <f>SUMPRODUCT(F67:F71,Q_monthly_by_region!E37:E41)/SUM(Q_monthly_by_region!E37:E41)</f>
        <v>95.17050984681367</v>
      </c>
      <c r="AH16" s="11">
        <f>SUMPRODUCT(G67:G71,Q_monthly_by_region!F37:F41)/SUM(Q_monthly_by_region!F37:F41)</f>
        <v>77.43356545025848</v>
      </c>
      <c r="AI16" s="11">
        <f>SUMPRODUCT(H67:H71,Q_monthly_by_region!G37:G41)/SUM(Q_monthly_by_region!G37:G41)</f>
        <v>165.0173430922603</v>
      </c>
      <c r="AJ16" s="11">
        <f>SUMPRODUCT(I67:I71,Q_monthly_by_region!H37:H41)/SUM(Q_monthly_by_region!H37:H41)</f>
        <v>72.25500546164984</v>
      </c>
      <c r="AK16" s="11">
        <f>SUMPRODUCT(J67:J71,Q_monthly_by_region!I37:I41)/SUM(Q_monthly_by_region!I37:I41)</f>
        <v>78.31864087440957</v>
      </c>
      <c r="AL16" s="11">
        <f>SUMPRODUCT(K67:K71,Q_monthly_by_region!J37:J41)/SUM(Q_monthly_by_region!J37:J41)</f>
        <v>78.59366344967339</v>
      </c>
      <c r="AM16" s="11">
        <f>SUMPRODUCT(L67:L71,Q_monthly_by_region!K37:K41)/SUM(Q_monthly_by_region!K37:K41)</f>
        <v>55.67818119773921</v>
      </c>
      <c r="AN16" s="11">
        <f>SUMPRODUCT(M67:M71,Q_monthly_by_region!L37:L41)/SUM(Q_monthly_by_region!L37:L41)</f>
        <v>71.02605461365188</v>
      </c>
      <c r="AO16" s="11">
        <f>SUMPRODUCT(N67:N71,Q_monthly_by_region!M37:M41)/SUM(Q_monthly_by_region!M37:M41)</f>
        <v>146.4798980218921</v>
      </c>
      <c r="AP16" s="11">
        <f>SUMPRODUCT(O67:O71,Q_monthly_by_region!N37:N41)/SUM(Q_monthly_by_region!N37:N41)</f>
        <v>56.312820890639756</v>
      </c>
      <c r="AQ16" s="11">
        <f>SUMPRODUCT(P67:P71,Q_monthly_by_region!O37:O41)/SUM(Q_monthly_by_region!O37:O41)</f>
        <v>55.853528676342584</v>
      </c>
      <c r="AR16" s="11">
        <f>SUMPRODUCT(Q67:Q71,Q_monthly_by_region!P37:P41)/SUM(Q_monthly_by_region!P37:P41)</f>
        <v>119.85526920774964</v>
      </c>
      <c r="AS16" s="11">
        <f>SUMPRODUCT(R67:R71,Q_monthly_by_region!Q37:Q41)/SUM(Q_monthly_by_region!Q37:Q41)</f>
        <v>60.44669072585824</v>
      </c>
      <c r="AT16" s="11">
        <f>SUMPRODUCT(S67:S71,Q_monthly_by_region!R37:R41)/SUM(Q_monthly_by_region!R37:R41)</f>
        <v>124.73074219759562</v>
      </c>
      <c r="AU16" s="11">
        <f>SUMPRODUCT(T67:T71,Q_monthly_by_region!S37:S41)/SUM(Q_monthly_by_region!S37:S41)</f>
        <v>59.405024099680446</v>
      </c>
      <c r="AV16" s="11">
        <f>SUMPRODUCT(U67:U71,Q_monthly_by_region!T37:T41)/SUM(Q_monthly_by_region!T37:T41)</f>
        <v>64.99054977133194</v>
      </c>
      <c r="AW16" s="11">
        <f>SUMPRODUCT(V67:V71,Q_monthly_by_region!U37:U41)/SUM(Q_monthly_by_region!U37:U41)</f>
        <v>102.40935489090216</v>
      </c>
      <c r="AX16" s="11">
        <f>SUMPRODUCT(W67:W71,Q_monthly_by_region!V37:V41)/SUM(Q_monthly_by_region!V37:V41)</f>
        <v>58.83665467170321</v>
      </c>
      <c r="AY16" s="11">
        <f>SUMPRODUCT(X67:X71,Q_monthly_by_region!W37:W41)/SUM(Q_monthly_by_region!W37:W41)</f>
        <v>36.58894371286532</v>
      </c>
      <c r="AZ16" s="11">
        <f>SUMPRODUCT(Y67:Y71,Q_monthly_by_region!X37:X41)/SUM(Q_monthly_by_region!X37:X41)</f>
        <v>204.75093362367605</v>
      </c>
      <c r="BA16" s="11">
        <f>SUMPRODUCT(Z67:Z71,Q_monthly_by_region!Y37:Y41)/SUM(Q_monthly_by_region!Y37:Y41)</f>
        <v>56.9864039278582</v>
      </c>
      <c r="BU16" s="15"/>
    </row>
    <row r="17" spans="1:53" ht="12.75">
      <c r="A17" t="s">
        <v>153</v>
      </c>
      <c r="B17" t="s">
        <v>253</v>
      </c>
      <c r="C17" s="7">
        <v>24.5893302296284</v>
      </c>
      <c r="D17" s="7">
        <v>12.624332485846</v>
      </c>
      <c r="E17" s="7">
        <v>27.7638951400715</v>
      </c>
      <c r="F17" s="7">
        <v>23.3463506232708</v>
      </c>
      <c r="G17" s="7">
        <v>18.0281287873413</v>
      </c>
      <c r="H17" s="7">
        <v>11.5161893772978</v>
      </c>
      <c r="I17" s="7">
        <v>13.8928898622612</v>
      </c>
      <c r="J17" s="7">
        <v>12.9385698383523</v>
      </c>
      <c r="K17" s="7">
        <v>8.85791208409419</v>
      </c>
      <c r="L17" s="7">
        <v>15.885475741379</v>
      </c>
      <c r="M17" s="7">
        <v>22.9902887273093</v>
      </c>
      <c r="N17" s="7">
        <v>26.5794082769988</v>
      </c>
      <c r="O17" s="7">
        <v>24.8975057843353</v>
      </c>
      <c r="P17" s="7">
        <v>24.465787183163</v>
      </c>
      <c r="Q17" s="7">
        <v>18.1080609060034</v>
      </c>
      <c r="R17" s="7">
        <v>23.1139721211895</v>
      </c>
      <c r="S17" s="7">
        <v>15.1329506042434</v>
      </c>
      <c r="T17" s="7">
        <v>5.30740474856424</v>
      </c>
      <c r="U17" s="7">
        <v>2.55480518364711</v>
      </c>
      <c r="V17" s="7">
        <v>2.93203400249357</v>
      </c>
      <c r="W17" s="7">
        <v>3.67860056195051</v>
      </c>
      <c r="X17" s="7">
        <v>13.9566690582695</v>
      </c>
      <c r="Y17" s="7">
        <v>29.6060769177744</v>
      </c>
      <c r="Z17" s="7">
        <v>33.6164986123756</v>
      </c>
      <c r="AA17" s="15">
        <f>SUMPRODUCT(C17:Z17,Q_monthly_by_region!B17:Y17)/SUM(Q_monthly_by_region!B17:Y17)</f>
        <v>22.338134815822787</v>
      </c>
      <c r="AB17" s="3"/>
      <c r="AC17" s="3" t="s">
        <v>83</v>
      </c>
      <c r="AD17" s="11">
        <f>AD15/AD16</f>
        <v>21.59241675197774</v>
      </c>
      <c r="AE17" s="11">
        <f aca="true" t="shared" si="8" ref="AE17:BA17">AE15/AE16</f>
        <v>21.60933564874939</v>
      </c>
      <c r="AF17" s="11">
        <f t="shared" si="8"/>
        <v>15.72614393591017</v>
      </c>
      <c r="AG17" s="11">
        <f t="shared" si="8"/>
        <v>14.609355379736089</v>
      </c>
      <c r="AH17" s="11">
        <f t="shared" si="8"/>
        <v>14.507622978458885</v>
      </c>
      <c r="AI17" s="11">
        <f t="shared" si="8"/>
        <v>10.886694315167999</v>
      </c>
      <c r="AJ17" s="11">
        <f t="shared" si="8"/>
        <v>15.661338315256051</v>
      </c>
      <c r="AK17" s="11">
        <f t="shared" si="8"/>
        <v>12.949633100239456</v>
      </c>
      <c r="AL17" s="11">
        <f t="shared" si="8"/>
        <v>12.711203450415542</v>
      </c>
      <c r="AM17" s="11">
        <f t="shared" si="8"/>
        <v>17.358882914476627</v>
      </c>
      <c r="AN17" s="11">
        <f t="shared" si="8"/>
        <v>16.384391766294684</v>
      </c>
      <c r="AO17" s="11">
        <f t="shared" si="8"/>
        <v>14.874985032912551</v>
      </c>
      <c r="AP17" s="11">
        <f t="shared" si="8"/>
        <v>18.833842105472815</v>
      </c>
      <c r="AQ17" s="11">
        <f t="shared" si="8"/>
        <v>15.149529436342204</v>
      </c>
      <c r="AR17" s="11">
        <f t="shared" si="8"/>
        <v>10.877207256043741</v>
      </c>
      <c r="AS17" s="11">
        <f t="shared" si="8"/>
        <v>16.878793254790388</v>
      </c>
      <c r="AT17" s="11">
        <f t="shared" si="8"/>
        <v>9.918022012029924</v>
      </c>
      <c r="AU17" s="11">
        <f t="shared" si="8"/>
        <v>19.556859931962332</v>
      </c>
      <c r="AV17" s="11">
        <f t="shared" si="8"/>
        <v>13.395931462242713</v>
      </c>
      <c r="AW17" s="11">
        <f t="shared" si="8"/>
        <v>11.432684326990394</v>
      </c>
      <c r="AX17" s="11">
        <f t="shared" si="8"/>
        <v>14.078747133035801</v>
      </c>
      <c r="AY17" s="11">
        <f t="shared" si="8"/>
        <v>22.416904642777833</v>
      </c>
      <c r="AZ17" s="11">
        <f t="shared" si="8"/>
        <v>16.232318220853415</v>
      </c>
      <c r="BA17" s="11">
        <f t="shared" si="8"/>
        <v>29.47062500629291</v>
      </c>
    </row>
    <row r="18" spans="1:53" ht="12.75">
      <c r="A18" t="s">
        <v>153</v>
      </c>
      <c r="B18" t="s">
        <v>149</v>
      </c>
      <c r="C18" s="7">
        <v>75.6024262214872</v>
      </c>
      <c r="D18" s="7">
        <v>51.6172270860387</v>
      </c>
      <c r="E18" s="7">
        <v>95.295027660056</v>
      </c>
      <c r="F18" s="7">
        <v>45.6114878892584</v>
      </c>
      <c r="G18" s="7">
        <v>58.0876258090615</v>
      </c>
      <c r="H18" s="7">
        <v>30.0247059953492</v>
      </c>
      <c r="I18" s="7">
        <v>43.6322658569412</v>
      </c>
      <c r="J18" s="7">
        <v>35.5902403514765</v>
      </c>
      <c r="K18" s="7">
        <v>37.1733493540867</v>
      </c>
      <c r="L18" s="7">
        <v>44.4215679608401</v>
      </c>
      <c r="M18" s="7">
        <v>109.116682346978</v>
      </c>
      <c r="N18" s="7">
        <v>113.489901279711</v>
      </c>
      <c r="O18" s="7">
        <v>75.1947012943291</v>
      </c>
      <c r="P18" s="7">
        <v>66.3516775561953</v>
      </c>
      <c r="Q18" s="7">
        <v>14.6048421546267</v>
      </c>
      <c r="R18" s="7">
        <v>38.3763558326008</v>
      </c>
      <c r="S18" s="7">
        <v>44.5312724896642</v>
      </c>
      <c r="T18" s="7">
        <v>23.9529345846757</v>
      </c>
      <c r="U18" s="7">
        <v>36.6438075759756</v>
      </c>
      <c r="V18" s="7">
        <v>42.2524953954474</v>
      </c>
      <c r="W18" s="7">
        <v>21.8503291777559</v>
      </c>
      <c r="X18" s="7">
        <v>43.5228773896286</v>
      </c>
      <c r="Y18" s="7">
        <v>70.5685275845598</v>
      </c>
      <c r="Z18" s="7">
        <v>74.0072461614623</v>
      </c>
      <c r="AA18" s="15">
        <f>SUMPRODUCT(C18:Z18,Q_monthly_by_region!B18:Y18)/SUM(Q_monthly_by_region!B18:Y18)</f>
        <v>70.64355435460067</v>
      </c>
      <c r="AB18" s="3"/>
      <c r="AC18" s="3" t="s">
        <v>100</v>
      </c>
      <c r="AD18" s="11">
        <f>AD13/AD12</f>
        <v>11.331659560799654</v>
      </c>
      <c r="AE18" s="11">
        <f aca="true" t="shared" si="9" ref="AE18:BA18">AE13/AE12</f>
        <v>15.029473211443273</v>
      </c>
      <c r="AF18" s="11">
        <f t="shared" si="9"/>
        <v>7.576925466032132</v>
      </c>
      <c r="AG18" s="11">
        <f t="shared" si="9"/>
        <v>10.44611246395422</v>
      </c>
      <c r="AH18" s="11">
        <f t="shared" si="9"/>
        <v>7.380869708604793</v>
      </c>
      <c r="AI18" s="11">
        <f t="shared" si="9"/>
        <v>10.582852743042093</v>
      </c>
      <c r="AJ18" s="11">
        <f t="shared" si="9"/>
        <v>13.033372623607324</v>
      </c>
      <c r="AK18" s="11">
        <f t="shared" si="9"/>
        <v>10.819988904610785</v>
      </c>
      <c r="AL18" s="11">
        <f t="shared" si="9"/>
        <v>8.349966167383613</v>
      </c>
      <c r="AM18" s="11">
        <f t="shared" si="9"/>
        <v>9.224217127558639</v>
      </c>
      <c r="AN18" s="11">
        <f t="shared" si="9"/>
        <v>9.925023863675246</v>
      </c>
      <c r="AO18" s="11">
        <f t="shared" si="9"/>
        <v>10.771432686586552</v>
      </c>
      <c r="AP18" s="11">
        <f t="shared" si="9"/>
        <v>7.38739196318587</v>
      </c>
      <c r="AQ18" s="11">
        <f t="shared" si="9"/>
        <v>8.363891097314594</v>
      </c>
      <c r="AR18" s="11">
        <f t="shared" si="9"/>
        <v>11.043763399778232</v>
      </c>
      <c r="AS18" s="11">
        <f t="shared" si="9"/>
        <v>10.697999072301926</v>
      </c>
      <c r="AT18" s="11">
        <f t="shared" si="9"/>
        <v>4.922524253237174</v>
      </c>
      <c r="AU18" s="11">
        <f t="shared" si="9"/>
        <v>8.976694091986355</v>
      </c>
      <c r="AV18" s="11">
        <f t="shared" si="9"/>
        <v>8.761508991882872</v>
      </c>
      <c r="AW18" s="11">
        <f t="shared" si="9"/>
        <v>9.185572461052304</v>
      </c>
      <c r="AX18" s="11">
        <f t="shared" si="9"/>
        <v>7.930708010019188</v>
      </c>
      <c r="AY18" s="11">
        <f t="shared" si="9"/>
        <v>11.956211018735528</v>
      </c>
      <c r="AZ18" s="11">
        <f t="shared" si="9"/>
        <v>11.717749197169162</v>
      </c>
      <c r="BA18" s="11">
        <f t="shared" si="9"/>
        <v>13.3734355837067</v>
      </c>
    </row>
    <row r="19" spans="1:53" ht="12.75">
      <c r="A19" t="s">
        <v>153</v>
      </c>
      <c r="B19" t="s">
        <v>254</v>
      </c>
      <c r="C19" s="7">
        <v>219.259726943304</v>
      </c>
      <c r="D19" s="7">
        <v>148.98657111797</v>
      </c>
      <c r="E19" s="7">
        <v>193.425033686548</v>
      </c>
      <c r="F19" s="7">
        <v>137.109831769569</v>
      </c>
      <c r="G19" s="7">
        <v>95.1632361261782</v>
      </c>
      <c r="H19" s="7">
        <v>83.7503861411231</v>
      </c>
      <c r="I19" s="7">
        <v>120.738014224866</v>
      </c>
      <c r="J19" s="7">
        <v>111.204755223289</v>
      </c>
      <c r="K19" s="7">
        <v>97.0916530672291</v>
      </c>
      <c r="L19" s="7">
        <v>115.309266823016</v>
      </c>
      <c r="M19" s="7">
        <v>282.50427690048</v>
      </c>
      <c r="N19" s="7">
        <v>423.272543943176</v>
      </c>
      <c r="O19" s="7">
        <v>215.840131197752</v>
      </c>
      <c r="P19" s="7">
        <v>189.175014864768</v>
      </c>
      <c r="Q19" s="7">
        <v>128.114026398574</v>
      </c>
      <c r="R19" s="7">
        <v>118.632009214794</v>
      </c>
      <c r="S19" s="7">
        <v>147.687415958552</v>
      </c>
      <c r="T19" s="7">
        <v>124.757399514391</v>
      </c>
      <c r="U19" s="7">
        <v>126.416070253376</v>
      </c>
      <c r="V19" s="7">
        <v>125.786776373748</v>
      </c>
      <c r="W19" s="7">
        <v>124.202166927459</v>
      </c>
      <c r="X19" s="7">
        <v>145.251574191694</v>
      </c>
      <c r="Y19" s="7">
        <v>223.522816770134</v>
      </c>
      <c r="Z19" s="7">
        <v>231.469672783355</v>
      </c>
      <c r="AA19" s="15">
        <f>SUMPRODUCT(C19:Z19,Q_monthly_by_region!B19:Y19)/SUM(Q_monthly_by_region!B19:Y19)</f>
        <v>197.96601678246876</v>
      </c>
      <c r="AB19" s="3"/>
      <c r="AC19" s="3" t="s">
        <v>93</v>
      </c>
      <c r="AD19" s="263">
        <f>AD12/AD14</f>
        <v>0.17295372496447903</v>
      </c>
      <c r="AE19" s="263">
        <f aca="true" t="shared" si="10" ref="AE19:BA19">AE12/AE14</f>
        <v>0.09085694998833761</v>
      </c>
      <c r="AF19" s="263">
        <f t="shared" si="10"/>
        <v>0.13208899506829463</v>
      </c>
      <c r="AG19" s="263">
        <f t="shared" si="10"/>
        <v>0.12650376059370727</v>
      </c>
      <c r="AH19" s="263">
        <f t="shared" si="10"/>
        <v>0.20546248839630532</v>
      </c>
      <c r="AI19" s="263">
        <f t="shared" si="10"/>
        <v>0.35961168699231033</v>
      </c>
      <c r="AJ19" s="263">
        <f t="shared" si="10"/>
        <v>0.20313205653573907</v>
      </c>
      <c r="AK19" s="263">
        <f t="shared" si="10"/>
        <v>0.25626544687583475</v>
      </c>
      <c r="AL19" s="263">
        <f t="shared" si="10"/>
        <v>0.25818770709905925</v>
      </c>
      <c r="AM19" s="263">
        <f t="shared" si="10"/>
        <v>0.15697808838503594</v>
      </c>
      <c r="AN19" s="263">
        <f t="shared" si="10"/>
        <v>0.12464228166804538</v>
      </c>
      <c r="AO19" s="263">
        <f t="shared" si="10"/>
        <v>0.21834039081443715</v>
      </c>
      <c r="AP19" s="263">
        <f t="shared" si="10"/>
        <v>0.20938383134618702</v>
      </c>
      <c r="AQ19" s="263">
        <f t="shared" si="10"/>
        <v>0.17456805410053336</v>
      </c>
      <c r="AR19" s="263">
        <f t="shared" si="10"/>
        <v>0.19517304614491524</v>
      </c>
      <c r="AS19" s="263">
        <f t="shared" si="10"/>
        <v>0.18378355747634761</v>
      </c>
      <c r="AT19" s="263">
        <f t="shared" si="10"/>
        <v>0.48884281744736113</v>
      </c>
      <c r="AU19" s="263">
        <f t="shared" si="10"/>
        <v>0.4593640477806408</v>
      </c>
      <c r="AV19" s="263">
        <f t="shared" si="10"/>
        <v>0.3211258338155033</v>
      </c>
      <c r="AW19" s="263">
        <f t="shared" si="10"/>
        <v>0.4382713945629795</v>
      </c>
      <c r="AX19" s="263">
        <f t="shared" si="10"/>
        <v>0.23103771262681302</v>
      </c>
      <c r="AY19" s="263">
        <f t="shared" si="10"/>
        <v>0.14666619867692704</v>
      </c>
      <c r="AZ19" s="263">
        <f t="shared" si="10"/>
        <v>0.5125430908789191</v>
      </c>
      <c r="BA19" s="263">
        <f t="shared" si="10"/>
        <v>0.05539266180652115</v>
      </c>
    </row>
    <row r="20" spans="1:56" ht="12.75">
      <c r="A20" t="s">
        <v>153</v>
      </c>
      <c r="B20" t="s">
        <v>255</v>
      </c>
      <c r="C20" s="7">
        <v>430.63866033618</v>
      </c>
      <c r="D20" s="7">
        <v>292.781944821918</v>
      </c>
      <c r="E20" s="7">
        <v>335.653012849887</v>
      </c>
      <c r="F20" s="7">
        <v>285.426127336056</v>
      </c>
      <c r="G20" s="7">
        <v>257.190525538535</v>
      </c>
      <c r="H20" s="7">
        <v>248.509696812858</v>
      </c>
      <c r="I20" s="7">
        <v>287.7314073694</v>
      </c>
      <c r="J20" s="7">
        <v>257.086943525902</v>
      </c>
      <c r="K20" s="7">
        <v>238.97440914072</v>
      </c>
      <c r="L20" s="7">
        <v>216.580921274005</v>
      </c>
      <c r="M20" s="7">
        <v>550.133011135728</v>
      </c>
      <c r="N20" s="7">
        <v>433.542711370633</v>
      </c>
      <c r="O20" s="7">
        <v>312.035822794737</v>
      </c>
      <c r="P20" s="7">
        <v>327.615630926416</v>
      </c>
      <c r="Q20" s="7">
        <v>282.554196219572</v>
      </c>
      <c r="R20" s="7">
        <v>243.809532130545</v>
      </c>
      <c r="S20" s="7">
        <v>286.971137657051</v>
      </c>
      <c r="T20" s="7">
        <v>292.504273032046</v>
      </c>
      <c r="U20" s="7">
        <v>286.381164716945</v>
      </c>
      <c r="V20" s="7">
        <v>125.865694424985</v>
      </c>
      <c r="W20" s="7">
        <v>259.63815423564</v>
      </c>
      <c r="X20" s="7">
        <v>273.45506235558</v>
      </c>
      <c r="Y20" s="7">
        <v>286.859680068005</v>
      </c>
      <c r="Z20" s="7">
        <v>315.264657679551</v>
      </c>
      <c r="AA20" s="15">
        <f>SUMPRODUCT(C20:Z20,Q_monthly_by_region!B20:Y20)/SUM(Q_monthly_by_region!B20:Y20)</f>
        <v>325.29808682168743</v>
      </c>
      <c r="AB20" s="3"/>
      <c r="AC20" s="3" t="s">
        <v>244</v>
      </c>
      <c r="AD20" s="12">
        <f aca="true" t="shared" si="11" ref="AD20:BA20">AD6/AD5*100</f>
        <v>74.132788456636</v>
      </c>
      <c r="AE20" s="12">
        <f t="shared" si="11"/>
        <v>72.49943294964679</v>
      </c>
      <c r="AF20" s="12">
        <f t="shared" si="11"/>
        <v>70.40797164656679</v>
      </c>
      <c r="AG20" s="12">
        <f t="shared" si="11"/>
        <v>54.244896720282874</v>
      </c>
      <c r="AH20" s="12">
        <f t="shared" si="11"/>
        <v>54.33759489368495</v>
      </c>
      <c r="AI20" s="12">
        <f t="shared" si="11"/>
        <v>43.096790553455335</v>
      </c>
      <c r="AJ20" s="12">
        <f t="shared" si="11"/>
        <v>61.31036624317133</v>
      </c>
      <c r="AK20" s="12">
        <f t="shared" si="11"/>
        <v>54.711223945705925</v>
      </c>
      <c r="AL20" s="12">
        <f t="shared" si="11"/>
        <v>40.69877052823544</v>
      </c>
      <c r="AM20" s="12">
        <f t="shared" si="11"/>
        <v>49.61095851725481</v>
      </c>
      <c r="AN20" s="12">
        <f t="shared" si="11"/>
        <v>66.46775362948183</v>
      </c>
      <c r="AO20" s="12">
        <f t="shared" si="11"/>
        <v>59.62454100034529</v>
      </c>
      <c r="AP20" s="12">
        <f t="shared" si="11"/>
        <v>76.27487872845566</v>
      </c>
      <c r="AQ20" s="12">
        <f t="shared" si="11"/>
        <v>70.80819895176649</v>
      </c>
      <c r="AR20" s="12">
        <f t="shared" si="11"/>
        <v>33.39869434365363</v>
      </c>
      <c r="AS20" s="12">
        <f t="shared" si="11"/>
        <v>56.075743820953484</v>
      </c>
      <c r="AT20" s="12">
        <f t="shared" si="11"/>
        <v>54.8815832396352</v>
      </c>
      <c r="AU20" s="12">
        <f t="shared" si="11"/>
        <v>56.811953708004026</v>
      </c>
      <c r="AV20" s="12">
        <f t="shared" si="11"/>
        <v>45.08887924388502</v>
      </c>
      <c r="AW20" s="12">
        <f t="shared" si="11"/>
        <v>45.72369262489006</v>
      </c>
      <c r="AX20" s="12">
        <f t="shared" si="11"/>
        <v>54.3689606606746</v>
      </c>
      <c r="AY20" s="12">
        <f t="shared" si="11"/>
        <v>67.54454704885923</v>
      </c>
      <c r="AZ20" s="12">
        <f t="shared" si="11"/>
        <v>66.96737497856698</v>
      </c>
      <c r="BA20" s="12">
        <f t="shared" si="11"/>
        <v>70.42822669675738</v>
      </c>
      <c r="BB20" s="10"/>
      <c r="BC20" s="10"/>
      <c r="BD20" s="10"/>
    </row>
    <row r="21" spans="1:56" ht="12.75">
      <c r="A21" t="s">
        <v>153</v>
      </c>
      <c r="B21" t="s">
        <v>256</v>
      </c>
      <c r="C21" s="7">
        <v>59.2240825517103</v>
      </c>
      <c r="D21" s="7">
        <v>39.8695300219282</v>
      </c>
      <c r="E21" s="7">
        <v>93.8999984834861</v>
      </c>
      <c r="F21" s="7">
        <v>52.6727445818393</v>
      </c>
      <c r="G21" s="7">
        <v>32.0076993210694</v>
      </c>
      <c r="H21" s="7">
        <v>24.2820547906187</v>
      </c>
      <c r="I21" s="7">
        <v>19.3237865234022</v>
      </c>
      <c r="J21" s="7">
        <v>20.8508545092285</v>
      </c>
      <c r="K21" s="7">
        <v>28.3861809709489</v>
      </c>
      <c r="L21" s="7">
        <v>39.446216798924</v>
      </c>
      <c r="M21" s="7">
        <v>78.9756998609451</v>
      </c>
      <c r="N21" s="7">
        <v>104.606612076151</v>
      </c>
      <c r="O21" s="7">
        <v>74.0091150897849</v>
      </c>
      <c r="P21" s="7">
        <v>60.4525984960867</v>
      </c>
      <c r="Q21" s="7">
        <v>30.2925677502772</v>
      </c>
      <c r="R21" s="7">
        <v>39.2138942067881</v>
      </c>
      <c r="S21" s="7">
        <v>32.2739093689582</v>
      </c>
      <c r="T21" s="7">
        <v>16.5448685695531</v>
      </c>
      <c r="U21" s="7">
        <v>14.2418190691887</v>
      </c>
      <c r="V21" s="7">
        <v>17.221375307662</v>
      </c>
      <c r="W21" s="7">
        <v>28.4710170099155</v>
      </c>
      <c r="X21" s="7">
        <v>49.0254199892981</v>
      </c>
      <c r="Y21" s="7">
        <v>107.213579296053</v>
      </c>
      <c r="Z21" s="7">
        <v>134.33078505555</v>
      </c>
      <c r="AA21" s="15">
        <f>SUMPRODUCT(C21:Z21,Q_monthly_by_region!B21:Y21)/SUM(Q_monthly_by_region!B21:Y21)</f>
        <v>61.46769610996084</v>
      </c>
      <c r="AB21" s="3"/>
      <c r="AC21" s="3" t="s">
        <v>245</v>
      </c>
      <c r="AD21" s="14">
        <f aca="true" t="shared" si="12" ref="AD21:BA21">AD7/AD5*100</f>
        <v>7.1768414800645</v>
      </c>
      <c r="AE21" s="14">
        <f t="shared" si="12"/>
        <v>3.847002142914841</v>
      </c>
      <c r="AF21" s="14">
        <f t="shared" si="12"/>
        <v>3.898417787199055</v>
      </c>
      <c r="AG21" s="14">
        <f t="shared" si="12"/>
        <v>5.133615619682046</v>
      </c>
      <c r="AH21" s="14">
        <f t="shared" si="12"/>
        <v>4.6241019862801815</v>
      </c>
      <c r="AI21" s="14">
        <f t="shared" si="12"/>
        <v>3.296456653660497</v>
      </c>
      <c r="AJ21" s="14">
        <f t="shared" si="12"/>
        <v>10.089952693448732</v>
      </c>
      <c r="AK21" s="14">
        <f t="shared" si="12"/>
        <v>5.9427278326191955</v>
      </c>
      <c r="AL21" s="14">
        <f t="shared" si="12"/>
        <v>11.970593817485824</v>
      </c>
      <c r="AM21" s="14">
        <f t="shared" si="12"/>
        <v>13.20734218698664</v>
      </c>
      <c r="AN21" s="14">
        <f t="shared" si="12"/>
        <v>9.74513816350358</v>
      </c>
      <c r="AO21" s="14">
        <f t="shared" si="12"/>
        <v>7.642094522865028</v>
      </c>
      <c r="AP21" s="14">
        <f t="shared" si="12"/>
        <v>4.937376845695723</v>
      </c>
      <c r="AQ21" s="14">
        <f t="shared" si="12"/>
        <v>4.542365854055546</v>
      </c>
      <c r="AR21" s="14">
        <f t="shared" si="12"/>
        <v>3.3529861742296814</v>
      </c>
      <c r="AS21" s="14">
        <f t="shared" si="12"/>
        <v>8.358020494316158</v>
      </c>
      <c r="AT21" s="14">
        <f t="shared" si="12"/>
        <v>7.885598396233973</v>
      </c>
      <c r="AU21" s="14">
        <f t="shared" si="12"/>
        <v>17.84935774264507</v>
      </c>
      <c r="AV21" s="14">
        <f t="shared" si="12"/>
        <v>4.506174139789749</v>
      </c>
      <c r="AW21" s="14">
        <f t="shared" si="12"/>
        <v>11.19831206180007</v>
      </c>
      <c r="AX21" s="14">
        <f t="shared" si="12"/>
        <v>13.364070103882877</v>
      </c>
      <c r="AY21" s="14">
        <f t="shared" si="12"/>
        <v>16.72766973199956</v>
      </c>
      <c r="AZ21" s="14">
        <f t="shared" si="12"/>
        <v>4.224071757790053</v>
      </c>
      <c r="BA21" s="14">
        <f t="shared" si="12"/>
        <v>6.125681008356871</v>
      </c>
      <c r="BB21" s="10"/>
      <c r="BC21" s="10"/>
      <c r="BD21" s="10"/>
    </row>
    <row r="22" spans="1:53" ht="12.75">
      <c r="A22" t="s">
        <v>154</v>
      </c>
      <c r="B22" t="s">
        <v>253</v>
      </c>
      <c r="C22" s="7">
        <v>13.6934086111794</v>
      </c>
      <c r="D22" s="7">
        <v>4.76039019612473</v>
      </c>
      <c r="E22" s="7">
        <v>21.928135380765</v>
      </c>
      <c r="F22" s="7">
        <v>15.0229236329414</v>
      </c>
      <c r="G22" s="7">
        <v>17.6172703915776</v>
      </c>
      <c r="H22" s="7">
        <v>7.5605597048102</v>
      </c>
      <c r="I22" s="7">
        <v>23.0701105482695</v>
      </c>
      <c r="J22" s="7">
        <v>6.3451080120561</v>
      </c>
      <c r="K22" s="7">
        <v>6.79545847019133</v>
      </c>
      <c r="L22" s="7">
        <v>11.0769171782546</v>
      </c>
      <c r="M22" s="7">
        <v>14.1951912765204</v>
      </c>
      <c r="N22" s="7">
        <v>7.19027595722184</v>
      </c>
      <c r="O22" s="7">
        <v>13.8867070092178</v>
      </c>
      <c r="P22" s="7">
        <v>7.63958161551283</v>
      </c>
      <c r="Q22" s="7">
        <v>6.10289201628904</v>
      </c>
      <c r="R22" s="7">
        <v>18.9528486480393</v>
      </c>
      <c r="S22" s="7">
        <v>2.11078670233305</v>
      </c>
      <c r="T22" s="7">
        <v>25.0984745762711</v>
      </c>
      <c r="U22" s="7">
        <v>0</v>
      </c>
      <c r="V22" s="7">
        <v>1.69124985674082</v>
      </c>
      <c r="W22" s="7">
        <v>0.526486655735274</v>
      </c>
      <c r="X22" s="7">
        <v>3.76336555073072</v>
      </c>
      <c r="Y22" s="7">
        <v>5.28450208685785</v>
      </c>
      <c r="Z22" s="7">
        <v>2.05021164553859</v>
      </c>
      <c r="AA22" s="15">
        <f>SUMPRODUCT(C22:Z22,Q_monthly_by_region!B22:Y22)/SUM(Q_monthly_by_region!B22:Y22)</f>
        <v>10.037016365712576</v>
      </c>
      <c r="AB22" s="3"/>
      <c r="AC22" s="3" t="s">
        <v>246</v>
      </c>
      <c r="AD22" s="14">
        <f aca="true" t="shared" si="13" ref="AD22:BA22">AD8/AD5*100</f>
        <v>0.3012757862947994</v>
      </c>
      <c r="AE22" s="14">
        <f t="shared" si="13"/>
        <v>0.29321630728706305</v>
      </c>
      <c r="AF22" s="14">
        <f t="shared" si="13"/>
        <v>0.40357094994873854</v>
      </c>
      <c r="AG22" s="14">
        <f t="shared" si="13"/>
        <v>0.3783453246475759</v>
      </c>
      <c r="AH22" s="14">
        <f t="shared" si="13"/>
        <v>0.5660607496547411</v>
      </c>
      <c r="AI22" s="14">
        <f t="shared" si="13"/>
        <v>0.5282161096453464</v>
      </c>
      <c r="AJ22" s="14">
        <f t="shared" si="13"/>
        <v>0.6009430621070702</v>
      </c>
      <c r="AK22" s="14">
        <f t="shared" si="13"/>
        <v>0.7644104689682182</v>
      </c>
      <c r="AL22" s="14">
        <f t="shared" si="13"/>
        <v>1.4437620709527477</v>
      </c>
      <c r="AM22" s="14">
        <f t="shared" si="13"/>
        <v>1.3134453078046366</v>
      </c>
      <c r="AN22" s="14">
        <f t="shared" si="13"/>
        <v>0.5101099972075855</v>
      </c>
      <c r="AO22" s="14">
        <f t="shared" si="13"/>
        <v>0.5146016533049752</v>
      </c>
      <c r="AP22" s="14">
        <f t="shared" si="13"/>
        <v>0.2682505901352769</v>
      </c>
      <c r="AQ22" s="14">
        <f t="shared" si="13"/>
        <v>0.2597214386002651</v>
      </c>
      <c r="AR22" s="14">
        <f t="shared" si="13"/>
        <v>0.41225599729574686</v>
      </c>
      <c r="AS22" s="14">
        <f t="shared" si="13"/>
        <v>0.3433705058072699</v>
      </c>
      <c r="AT22" s="14">
        <f t="shared" si="13"/>
        <v>0.9454083832351609</v>
      </c>
      <c r="AU22" s="14">
        <f t="shared" si="13"/>
        <v>0.8237450552761508</v>
      </c>
      <c r="AV22" s="14">
        <f t="shared" si="13"/>
        <v>0.3495094063486012</v>
      </c>
      <c r="AW22" s="14">
        <f t="shared" si="13"/>
        <v>0.4552146996074674</v>
      </c>
      <c r="AX22" s="14">
        <f t="shared" si="13"/>
        <v>2.88125884532073</v>
      </c>
      <c r="AY22" s="14">
        <f t="shared" si="13"/>
        <v>0.43315054668627717</v>
      </c>
      <c r="AZ22" s="14">
        <f t="shared" si="13"/>
        <v>4.030645782709326</v>
      </c>
      <c r="BA22" s="14">
        <f t="shared" si="13"/>
        <v>0.29727189063174875</v>
      </c>
    </row>
    <row r="23" spans="1:56" ht="12.75">
      <c r="A23" t="s">
        <v>154</v>
      </c>
      <c r="B23" t="s">
        <v>149</v>
      </c>
      <c r="C23" s="7">
        <v>17.8379889265427</v>
      </c>
      <c r="D23" s="7">
        <v>3.28729283534422</v>
      </c>
      <c r="E23" s="7">
        <v>6.30929821109115</v>
      </c>
      <c r="F23" s="7">
        <v>3.86854418277578</v>
      </c>
      <c r="G23" s="7">
        <v>4.06108368286252</v>
      </c>
      <c r="H23" s="7">
        <v>0.690095284409031</v>
      </c>
      <c r="I23" s="7">
        <v>3.46195318973983</v>
      </c>
      <c r="J23" s="7">
        <v>1.7079028276998</v>
      </c>
      <c r="K23" s="7">
        <v>3.45042931337635</v>
      </c>
      <c r="L23" s="7">
        <v>13.2794693292884</v>
      </c>
      <c r="M23" s="7">
        <v>26.9740917236254</v>
      </c>
      <c r="N23" s="7">
        <v>25.218731242465</v>
      </c>
      <c r="O23" s="7">
        <v>5.56096683098734</v>
      </c>
      <c r="P23" s="7">
        <v>7.37536798598099</v>
      </c>
      <c r="Q23" s="7">
        <v>1.24381473797916</v>
      </c>
      <c r="R23" s="7">
        <v>4.27273889311995</v>
      </c>
      <c r="S23" s="7">
        <v>3.29971099805192</v>
      </c>
      <c r="T23" s="7">
        <v>2.40956051267684</v>
      </c>
      <c r="U23" s="7">
        <v>2.51400654286338</v>
      </c>
      <c r="V23" s="7">
        <v>7.80723605292312</v>
      </c>
      <c r="W23" s="7">
        <v>0.796189942568987</v>
      </c>
      <c r="X23" s="7">
        <v>2.48944407013382</v>
      </c>
      <c r="Y23" s="7">
        <v>3.87925345301555</v>
      </c>
      <c r="Z23" s="7">
        <v>14.5518666652257</v>
      </c>
      <c r="AA23" s="15">
        <f>SUMPRODUCT(C23:Z23,Q_monthly_by_region!B23:Y23)/SUM(Q_monthly_by_region!B23:Y23)</f>
        <v>9.54018308191798</v>
      </c>
      <c r="AB23" s="16"/>
      <c r="AC23" s="3" t="s">
        <v>247</v>
      </c>
      <c r="AD23" s="12">
        <f aca="true" t="shared" si="14" ref="AD23:BA23">AD4/AD5*100</f>
        <v>18.389094277004723</v>
      </c>
      <c r="AE23" s="12">
        <f t="shared" si="14"/>
        <v>23.36034860015139</v>
      </c>
      <c r="AF23" s="12">
        <f t="shared" si="14"/>
        <v>25.290039616285476</v>
      </c>
      <c r="AG23" s="12">
        <f t="shared" si="14"/>
        <v>40.243142335387596</v>
      </c>
      <c r="AH23" s="12">
        <f t="shared" si="14"/>
        <v>40.47224237038007</v>
      </c>
      <c r="AI23" s="12">
        <f t="shared" si="14"/>
        <v>53.05791320167648</v>
      </c>
      <c r="AJ23" s="12">
        <f t="shared" si="14"/>
        <v>27.922348255206792</v>
      </c>
      <c r="AK23" s="12">
        <f t="shared" si="14"/>
        <v>38.58163775270662</v>
      </c>
      <c r="AL23" s="12">
        <f t="shared" si="14"/>
        <v>45.953720439797635</v>
      </c>
      <c r="AM23" s="12">
        <f t="shared" si="14"/>
        <v>36.00739741035226</v>
      </c>
      <c r="AN23" s="12">
        <f t="shared" si="14"/>
        <v>23.276998209807104</v>
      </c>
      <c r="AO23" s="12">
        <f t="shared" si="14"/>
        <v>32.19761657094847</v>
      </c>
      <c r="AP23" s="12">
        <f t="shared" si="14"/>
        <v>18.534652523525278</v>
      </c>
      <c r="AQ23" s="12">
        <f t="shared" si="14"/>
        <v>24.33500605478632</v>
      </c>
      <c r="AR23" s="12">
        <f t="shared" si="14"/>
        <v>62.83606348482083</v>
      </c>
      <c r="AS23" s="12">
        <f t="shared" si="14"/>
        <v>35.10144964781948</v>
      </c>
      <c r="AT23" s="12">
        <f t="shared" si="14"/>
        <v>41.25513475682834</v>
      </c>
      <c r="AU23" s="12">
        <f t="shared" si="14"/>
        <v>24.514943494074732</v>
      </c>
      <c r="AV23" s="12">
        <f t="shared" si="14"/>
        <v>35.431500155924205</v>
      </c>
      <c r="AW23" s="12">
        <f t="shared" si="14"/>
        <v>42.48061700867016</v>
      </c>
      <c r="AX23" s="12">
        <f t="shared" si="14"/>
        <v>29.301767546725603</v>
      </c>
      <c r="AY23" s="12">
        <f t="shared" si="14"/>
        <v>15.24549312075937</v>
      </c>
      <c r="AZ23" s="12">
        <f t="shared" si="14"/>
        <v>24.77150101245888</v>
      </c>
      <c r="BA23" s="12">
        <f t="shared" si="14"/>
        <v>23.07549348770226</v>
      </c>
      <c r="BB23" s="10"/>
      <c r="BC23" s="10"/>
      <c r="BD23" s="10"/>
    </row>
    <row r="24" spans="1:56" ht="12.75">
      <c r="A24" t="s">
        <v>154</v>
      </c>
      <c r="B24" t="s">
        <v>254</v>
      </c>
      <c r="C24" s="7">
        <v>15.6031199686849</v>
      </c>
      <c r="D24" s="7">
        <v>9.39329256887371</v>
      </c>
      <c r="E24" s="7">
        <v>12.6462297660935</v>
      </c>
      <c r="F24" s="7">
        <v>5.96283483120212</v>
      </c>
      <c r="G24" s="7">
        <v>3.09532771254224</v>
      </c>
      <c r="H24" s="7">
        <v>4.1834846015257</v>
      </c>
      <c r="I24" s="7">
        <v>3.85761239872039</v>
      </c>
      <c r="J24" s="7">
        <v>11.5536314777823</v>
      </c>
      <c r="K24" s="7">
        <v>19.6435337289397</v>
      </c>
      <c r="L24" s="7">
        <v>18.9957666813769</v>
      </c>
      <c r="M24" s="7">
        <v>31.1374094794404</v>
      </c>
      <c r="N24" s="7">
        <v>25.3636655550177</v>
      </c>
      <c r="O24" s="7">
        <v>8.41049663698638</v>
      </c>
      <c r="P24" s="7">
        <v>8.04804460077475</v>
      </c>
      <c r="Q24" s="7">
        <v>6.07780874579688</v>
      </c>
      <c r="R24" s="7">
        <v>9.8525055856541</v>
      </c>
      <c r="S24" s="7">
        <v>7.83810551431444</v>
      </c>
      <c r="T24" s="7">
        <v>9.30540200351906</v>
      </c>
      <c r="U24" s="7">
        <v>10.2089004011785</v>
      </c>
      <c r="V24" s="7">
        <v>13.3405464830421</v>
      </c>
      <c r="W24" s="7">
        <v>10.7072478649548</v>
      </c>
      <c r="X24" s="7">
        <v>25.4557344667506</v>
      </c>
      <c r="Y24" s="7">
        <v>21.0301866046138</v>
      </c>
      <c r="Z24" s="7">
        <v>14.4347925393555</v>
      </c>
      <c r="AA24" s="15">
        <f>SUMPRODUCT(C24:Z24,Q_monthly_by_region!B24:Y24)/SUM(Q_monthly_by_region!B24:Y24)</f>
        <v>12.721336007387489</v>
      </c>
      <c r="AB24" s="3"/>
      <c r="AC24" s="3" t="s">
        <v>252</v>
      </c>
      <c r="AD24" s="12">
        <f aca="true" t="shared" si="15" ref="AD24:BA24">AD6/(AD6+AD7+AD8)*100</f>
        <v>90.83686524477304</v>
      </c>
      <c r="AE24" s="12">
        <f t="shared" si="15"/>
        <v>94.5978114793329</v>
      </c>
      <c r="AF24" s="12">
        <f t="shared" si="15"/>
        <v>94.24174672954913</v>
      </c>
      <c r="AG24" s="12">
        <f t="shared" si="15"/>
        <v>90.77601942313349</v>
      </c>
      <c r="AH24" s="12">
        <f t="shared" si="15"/>
        <v>91.28110491205132</v>
      </c>
      <c r="AI24" s="12">
        <f t="shared" si="15"/>
        <v>91.848777738482</v>
      </c>
      <c r="AJ24" s="12">
        <f t="shared" si="15"/>
        <v>85.15179392863308</v>
      </c>
      <c r="AK24" s="12">
        <f t="shared" si="15"/>
        <v>89.07958783631847</v>
      </c>
      <c r="AL24" s="12">
        <f t="shared" si="15"/>
        <v>75.21053249603932</v>
      </c>
      <c r="AM24" s="12">
        <f t="shared" si="15"/>
        <v>77.35787905717741</v>
      </c>
      <c r="AN24" s="12">
        <f t="shared" si="15"/>
        <v>86.63341120469295</v>
      </c>
      <c r="AO24" s="12">
        <f t="shared" si="15"/>
        <v>87.96614444358929</v>
      </c>
      <c r="AP24" s="12">
        <f t="shared" si="15"/>
        <v>93.61119894697873</v>
      </c>
      <c r="AQ24" s="12">
        <f t="shared" si="15"/>
        <v>93.6488968218791</v>
      </c>
      <c r="AR24" s="12">
        <f t="shared" si="15"/>
        <v>89.8685593492294</v>
      </c>
      <c r="AS24" s="12">
        <f t="shared" si="15"/>
        <v>86.56718759766416</v>
      </c>
      <c r="AT24" s="12">
        <f t="shared" si="15"/>
        <v>86.13930656904523</v>
      </c>
      <c r="AU24" s="12">
        <f t="shared" si="15"/>
        <v>75.26251729512123</v>
      </c>
      <c r="AV24" s="12">
        <f t="shared" si="15"/>
        <v>90.27785353422234</v>
      </c>
      <c r="AW24" s="12">
        <f t="shared" si="15"/>
        <v>79.68962789404439</v>
      </c>
      <c r="AX24" s="12">
        <f t="shared" si="15"/>
        <v>76.99427546612174</v>
      </c>
      <c r="AY24" s="12">
        <f t="shared" si="15"/>
        <v>79.74057510154334</v>
      </c>
      <c r="AZ24" s="12">
        <f t="shared" si="15"/>
        <v>89.02620591363227</v>
      </c>
      <c r="BA24" s="12">
        <f t="shared" si="15"/>
        <v>91.64234962589416</v>
      </c>
      <c r="BB24" s="10"/>
      <c r="BC24" s="10"/>
      <c r="BD24" s="10"/>
    </row>
    <row r="25" spans="1:56" ht="12.75">
      <c r="A25" t="s">
        <v>154</v>
      </c>
      <c r="B25" t="s">
        <v>255</v>
      </c>
      <c r="C25" s="7">
        <v>17.6382918147186</v>
      </c>
      <c r="D25" s="7">
        <v>6.16489088994032</v>
      </c>
      <c r="E25" s="7">
        <v>10.6496142903157</v>
      </c>
      <c r="F25" s="7">
        <v>5.94267526749778</v>
      </c>
      <c r="G25" s="7">
        <v>2.22737842618421</v>
      </c>
      <c r="H25" s="7">
        <v>4.23542775668297</v>
      </c>
      <c r="I25" s="7">
        <v>1.45491068550717</v>
      </c>
      <c r="J25" s="7">
        <v>11.0807775231686</v>
      </c>
      <c r="K25" s="7">
        <v>22.7957316704521</v>
      </c>
      <c r="L25" s="7">
        <v>26.7559816487466</v>
      </c>
      <c r="M25" s="7">
        <v>21.7366464710557</v>
      </c>
      <c r="N25" s="7">
        <v>28.4067001491886</v>
      </c>
      <c r="O25" s="7">
        <v>8.36357758946202</v>
      </c>
      <c r="P25" s="7">
        <v>5.13696028800771</v>
      </c>
      <c r="Q25" s="7">
        <v>3.9302585398177</v>
      </c>
      <c r="R25" s="7">
        <v>7.18978692148492</v>
      </c>
      <c r="S25" s="7">
        <v>6.55294148968055</v>
      </c>
      <c r="T25" s="7">
        <v>8.4246363833345</v>
      </c>
      <c r="U25" s="7">
        <v>7.41456762873711</v>
      </c>
      <c r="V25" s="7">
        <v>8.33832644819303</v>
      </c>
      <c r="W25" s="7">
        <v>11.2344742631609</v>
      </c>
      <c r="X25" s="7">
        <v>39.5064846582608</v>
      </c>
      <c r="Y25" s="7">
        <v>29.3218988219321</v>
      </c>
      <c r="Z25" s="7">
        <v>13.2412671079687</v>
      </c>
      <c r="AA25" s="15">
        <f>SUMPRODUCT(C25:Z25,Q_monthly_by_region!B25:Y25)/SUM(Q_monthly_by_region!B25:Y25)</f>
        <v>12.744539889782574</v>
      </c>
      <c r="AB25" s="3"/>
      <c r="AC25" s="3" t="s">
        <v>248</v>
      </c>
      <c r="AD25" s="12">
        <f aca="true" t="shared" si="16" ref="AD25:BA25">(AD3/12.011)/(AD4/14.0067)</f>
        <v>38.787548476288144</v>
      </c>
      <c r="AE25" s="12">
        <f t="shared" si="16"/>
        <v>28.482472958678905</v>
      </c>
      <c r="AF25" s="12">
        <f t="shared" si="16"/>
        <v>24.05806446685899</v>
      </c>
      <c r="AG25" s="12">
        <f t="shared" si="16"/>
        <v>18.7839729017854</v>
      </c>
      <c r="AH25" s="12">
        <f t="shared" si="16"/>
        <v>22.2283320651254</v>
      </c>
      <c r="AI25" s="12">
        <f t="shared" si="16"/>
        <v>13.070595224486844</v>
      </c>
      <c r="AJ25" s="12">
        <f t="shared" si="16"/>
        <v>21.06136307996696</v>
      </c>
      <c r="AK25" s="12">
        <f t="shared" si="16"/>
        <v>17.31925997849944</v>
      </c>
      <c r="AL25" s="12">
        <f t="shared" si="16"/>
        <v>18.675254936829372</v>
      </c>
      <c r="AM25" s="12">
        <f t="shared" si="16"/>
        <v>25.148909134217643</v>
      </c>
      <c r="AN25" s="12">
        <f t="shared" si="16"/>
        <v>23.714619883074203</v>
      </c>
      <c r="AO25" s="12">
        <f t="shared" si="16"/>
        <v>21.498094343681657</v>
      </c>
      <c r="AP25" s="12">
        <f t="shared" si="16"/>
        <v>41.036263160717475</v>
      </c>
      <c r="AQ25" s="12">
        <f t="shared" si="16"/>
        <v>24.543721084650578</v>
      </c>
      <c r="AR25" s="12">
        <f t="shared" si="16"/>
        <v>12.60956143571111</v>
      </c>
      <c r="AS25" s="12">
        <f t="shared" si="16"/>
        <v>24.306873941928618</v>
      </c>
      <c r="AT25" s="12">
        <f t="shared" si="16"/>
        <v>25.070264589695096</v>
      </c>
      <c r="AU25" s="12">
        <f t="shared" si="16"/>
        <v>65.56956196725753</v>
      </c>
      <c r="AV25" s="12">
        <f t="shared" si="16"/>
        <v>22.836951635907234</v>
      </c>
      <c r="AW25" s="12">
        <f t="shared" si="16"/>
        <v>18.145196841798704</v>
      </c>
      <c r="AX25" s="12">
        <f t="shared" si="16"/>
        <v>23.76953841172059</v>
      </c>
      <c r="AY25" s="12">
        <f t="shared" si="16"/>
        <v>39.894269871164376</v>
      </c>
      <c r="AZ25" s="12">
        <f t="shared" si="16"/>
        <v>41.27618712243953</v>
      </c>
      <c r="BA25" s="12">
        <f t="shared" si="16"/>
        <v>39.137767089049355</v>
      </c>
      <c r="BB25" s="10"/>
      <c r="BC25" s="10"/>
      <c r="BD25" s="10"/>
    </row>
    <row r="26" spans="1:53" ht="12.75">
      <c r="A26" t="s">
        <v>154</v>
      </c>
      <c r="B26" t="s">
        <v>256</v>
      </c>
      <c r="C26" s="7">
        <v>5.42555928248448</v>
      </c>
      <c r="D26" s="7">
        <v>3.81987955109973</v>
      </c>
      <c r="E26" s="7">
        <v>4.55388287923848</v>
      </c>
      <c r="F26" s="7">
        <v>12.8907075312908</v>
      </c>
      <c r="G26" s="7">
        <v>3.97648701812189</v>
      </c>
      <c r="H26" s="7">
        <v>6.24446522915089</v>
      </c>
      <c r="I26" s="7">
        <v>23.860979569151</v>
      </c>
      <c r="J26" s="7">
        <v>6.08610269780438</v>
      </c>
      <c r="K26" s="7">
        <v>19.5080308948714</v>
      </c>
      <c r="L26" s="7">
        <v>11.892912500246</v>
      </c>
      <c r="M26" s="7">
        <v>11.4230226338233</v>
      </c>
      <c r="N26" s="7">
        <v>13.0610849436404</v>
      </c>
      <c r="O26" s="7">
        <v>3.40916804762128</v>
      </c>
      <c r="P26" s="7">
        <v>2.90576324464518</v>
      </c>
      <c r="Q26" s="7">
        <v>5.67442685772351</v>
      </c>
      <c r="R26" s="7">
        <v>8.99520482921455</v>
      </c>
      <c r="S26" s="7">
        <v>8.31000628301828</v>
      </c>
      <c r="T26" s="7">
        <v>8.91331484241073</v>
      </c>
      <c r="U26" s="7">
        <v>3.77897138254665</v>
      </c>
      <c r="V26" s="7">
        <v>11.5344612871683</v>
      </c>
      <c r="W26" s="7">
        <v>23.7933035003651</v>
      </c>
      <c r="X26" s="7">
        <v>24.0541685522429</v>
      </c>
      <c r="Y26" s="7">
        <v>2.78906228160398</v>
      </c>
      <c r="Z26" s="7">
        <v>14.2542383986702</v>
      </c>
      <c r="AA26" s="15">
        <f>SUMPRODUCT(C26:Z26,Q_monthly_by_region!B26:Y26)/SUM(Q_monthly_by_region!B26:Y26)</f>
        <v>7.61698260824096</v>
      </c>
      <c r="AB26" s="3"/>
      <c r="AC26" s="3" t="s">
        <v>95</v>
      </c>
      <c r="AD26" s="11">
        <f>AD16/AD14</f>
        <v>0.32504004419521687</v>
      </c>
      <c r="AE26" s="11">
        <f aca="true" t="shared" si="17" ref="AE26:BA26">AE16/AE14</f>
        <v>0.30323593574511054</v>
      </c>
      <c r="AF26" s="11">
        <f t="shared" si="17"/>
        <v>0.35158403204962424</v>
      </c>
      <c r="AG26" s="11">
        <f t="shared" si="17"/>
        <v>0.47802609551223924</v>
      </c>
      <c r="AH26" s="11">
        <f t="shared" si="17"/>
        <v>0.5270296358161399</v>
      </c>
      <c r="AI26" s="11">
        <f t="shared" si="17"/>
        <v>0.6993883622616107</v>
      </c>
      <c r="AJ26" s="11">
        <f t="shared" si="17"/>
        <v>0.4256362988439346</v>
      </c>
      <c r="AK26" s="11">
        <f t="shared" si="17"/>
        <v>0.5432104180039118</v>
      </c>
      <c r="AL26" s="11">
        <f t="shared" si="17"/>
        <v>0.5990780543668108</v>
      </c>
      <c r="AM26" s="11">
        <f t="shared" si="17"/>
        <v>0.4605283383565846</v>
      </c>
      <c r="AN26" s="11">
        <f t="shared" si="17"/>
        <v>0.328399282093583</v>
      </c>
      <c r="AO26" s="11">
        <f t="shared" si="17"/>
        <v>0.47001615466997887</v>
      </c>
      <c r="AP26" s="11">
        <f t="shared" si="17"/>
        <v>0.35592179100098054</v>
      </c>
      <c r="AQ26" s="11">
        <f t="shared" si="17"/>
        <v>0.37543696811330984</v>
      </c>
      <c r="AR26" s="11">
        <f t="shared" si="17"/>
        <v>0.7008946218122466</v>
      </c>
      <c r="AS26" s="11">
        <f t="shared" si="17"/>
        <v>0.4702873610660106</v>
      </c>
      <c r="AT26" s="11">
        <f t="shared" si="17"/>
        <v>0.6997214019286593</v>
      </c>
      <c r="AU26" s="11">
        <f t="shared" si="17"/>
        <v>0.5919006459758696</v>
      </c>
      <c r="AV26" s="11">
        <f t="shared" si="17"/>
        <v>0.5616611350656925</v>
      </c>
      <c r="AW26" s="11">
        <f t="shared" si="17"/>
        <v>0.6768971720668242</v>
      </c>
      <c r="AX26" s="11">
        <f t="shared" si="17"/>
        <v>0.45635725459488885</v>
      </c>
      <c r="AY26" s="11">
        <f t="shared" si="17"/>
        <v>0.2767611446547507</v>
      </c>
      <c r="AZ26" s="11">
        <f t="shared" si="17"/>
        <v>0.633293484057148</v>
      </c>
      <c r="BA26" s="11">
        <f t="shared" si="17"/>
        <v>0.273365466615715</v>
      </c>
    </row>
    <row r="27" spans="1:56" ht="12.75">
      <c r="A27" t="s">
        <v>155</v>
      </c>
      <c r="B27" t="s">
        <v>253</v>
      </c>
      <c r="C27" s="7">
        <v>0.386221279232795</v>
      </c>
      <c r="D27" s="7">
        <v>0.239907690942189</v>
      </c>
      <c r="E27" s="7">
        <v>0.336818809649975</v>
      </c>
      <c r="F27" s="7">
        <v>0.350090374508798</v>
      </c>
      <c r="G27" s="7">
        <v>0.279709542110537</v>
      </c>
      <c r="H27" s="7">
        <v>0.232250612223268</v>
      </c>
      <c r="I27" s="7">
        <v>0.304633104250919</v>
      </c>
      <c r="J27" s="7">
        <v>0.256141208204908</v>
      </c>
      <c r="K27" s="7">
        <v>0.259223939934622</v>
      </c>
      <c r="L27" s="7">
        <v>0.155497845022094</v>
      </c>
      <c r="M27" s="7">
        <v>0.478333678881881</v>
      </c>
      <c r="N27" s="7">
        <v>0.736025746106582</v>
      </c>
      <c r="O27" s="7">
        <v>0.266281978354495</v>
      </c>
      <c r="P27" s="7">
        <v>0.429135859733398</v>
      </c>
      <c r="Q27" s="7">
        <v>0.223395898472673</v>
      </c>
      <c r="R27" s="7">
        <v>0.186442543608871</v>
      </c>
      <c r="S27" s="7">
        <v>0.289033193514222</v>
      </c>
      <c r="T27" s="7">
        <v>0.658826866507914</v>
      </c>
      <c r="U27" s="7">
        <v>0.163456130434774</v>
      </c>
      <c r="V27" s="7">
        <v>0.366811658460858</v>
      </c>
      <c r="W27" s="7">
        <v>0.150820266473307</v>
      </c>
      <c r="X27" s="7">
        <v>0</v>
      </c>
      <c r="Y27" s="7">
        <v>0.365115762374414</v>
      </c>
      <c r="Z27" s="7">
        <v>0.576593469848718</v>
      </c>
      <c r="AA27" s="15">
        <f>SUMPRODUCT(C27:Z27,Q_monthly_by_region!B27:Y27)/SUM(Q_monthly_by_region!B27:Y27)</f>
        <v>0.3812397354876937</v>
      </c>
      <c r="AB27" s="3"/>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0"/>
      <c r="BC27" s="10"/>
      <c r="BD27" s="10"/>
    </row>
    <row r="28" spans="1:56" ht="12.75">
      <c r="A28" t="s">
        <v>155</v>
      </c>
      <c r="B28" t="s">
        <v>149</v>
      </c>
      <c r="C28" s="7">
        <v>0.502472002101098</v>
      </c>
      <c r="D28" s="7">
        <v>0.515246118248714</v>
      </c>
      <c r="E28" s="7">
        <v>1.65129256833342</v>
      </c>
      <c r="F28" s="7">
        <v>1.45183401605755</v>
      </c>
      <c r="G28" s="7">
        <v>1.95902407432131</v>
      </c>
      <c r="H28" s="7">
        <v>3.21786919466484</v>
      </c>
      <c r="I28" s="7">
        <v>2.71856369400472</v>
      </c>
      <c r="J28" s="7">
        <v>2.76360608164547</v>
      </c>
      <c r="K28" s="7">
        <v>6.97953976536644</v>
      </c>
      <c r="L28" s="7">
        <v>4.88034899447436</v>
      </c>
      <c r="M28" s="7">
        <v>2.03738862424736</v>
      </c>
      <c r="N28" s="7">
        <v>2.12718086125501</v>
      </c>
      <c r="O28" s="7">
        <v>0.424390958088608</v>
      </c>
      <c r="P28" s="7">
        <v>0.140100238973482</v>
      </c>
      <c r="Q28" s="7">
        <v>0.71323283625</v>
      </c>
      <c r="R28" s="7">
        <v>0.230271842358871</v>
      </c>
      <c r="S28" s="7">
        <v>3.14819275906911</v>
      </c>
      <c r="T28" s="7">
        <v>1.06096319512536</v>
      </c>
      <c r="U28" s="7">
        <v>0.234528055180241</v>
      </c>
      <c r="V28" s="7">
        <v>0.295537745754608</v>
      </c>
      <c r="W28" s="7">
        <v>9.81201848998459</v>
      </c>
      <c r="X28" s="7">
        <v>0.396213051346398</v>
      </c>
      <c r="Y28" s="7">
        <v>13.2869493301808</v>
      </c>
      <c r="Z28" s="7">
        <v>0.487453876949021</v>
      </c>
      <c r="AA28" s="15">
        <f>SUMPRODUCT(C28:Z28,Q_monthly_by_region!B28:Y28)/SUM(Q_monthly_by_region!B28:Y28)</f>
        <v>2.925125657346623</v>
      </c>
      <c r="AB28" s="3"/>
      <c r="AC28" s="20" t="s">
        <v>257</v>
      </c>
      <c r="AD28" s="18" t="s">
        <v>142</v>
      </c>
      <c r="AE28" s="19" t="s">
        <v>164</v>
      </c>
      <c r="AF28" s="18" t="s">
        <v>143</v>
      </c>
      <c r="AG28" s="18" t="s">
        <v>144</v>
      </c>
      <c r="AH28" s="18" t="s">
        <v>145</v>
      </c>
      <c r="AI28" s="18" t="s">
        <v>146</v>
      </c>
      <c r="AJ28" s="18" t="s">
        <v>147</v>
      </c>
      <c r="AK28" s="18" t="s">
        <v>148</v>
      </c>
      <c r="AL28" s="17" t="s">
        <v>258</v>
      </c>
      <c r="AM28" s="18" t="s">
        <v>142</v>
      </c>
      <c r="AN28" s="19" t="s">
        <v>164</v>
      </c>
      <c r="AO28" s="18" t="s">
        <v>143</v>
      </c>
      <c r="AP28" s="18" t="s">
        <v>144</v>
      </c>
      <c r="AQ28" s="18" t="s">
        <v>145</v>
      </c>
      <c r="AR28" s="18" t="s">
        <v>146</v>
      </c>
      <c r="AS28" s="18" t="s">
        <v>147</v>
      </c>
      <c r="AT28" s="18" t="s">
        <v>148</v>
      </c>
      <c r="AU28" s="12"/>
      <c r="AV28" s="12"/>
      <c r="AW28" s="12"/>
      <c r="AX28" s="12"/>
      <c r="AY28" s="12"/>
      <c r="AZ28" s="12"/>
      <c r="BA28" s="12"/>
      <c r="BB28" s="10"/>
      <c r="BC28" s="10"/>
      <c r="BD28" s="10"/>
    </row>
    <row r="29" spans="1:56" ht="12.75">
      <c r="A29" t="s">
        <v>155</v>
      </c>
      <c r="B29" t="s">
        <v>254</v>
      </c>
      <c r="C29" s="7">
        <v>0.77898461255159</v>
      </c>
      <c r="D29" s="7">
        <v>0.565917570396664</v>
      </c>
      <c r="E29" s="7">
        <v>0.817325654650591</v>
      </c>
      <c r="F29" s="7">
        <v>0.499886176958681</v>
      </c>
      <c r="G29" s="7">
        <v>0.562572983996432</v>
      </c>
      <c r="H29" s="7">
        <v>0.46088519082556</v>
      </c>
      <c r="I29" s="7">
        <v>0.652150040214942</v>
      </c>
      <c r="J29" s="7">
        <v>0.779906155428463</v>
      </c>
      <c r="K29" s="7">
        <v>0.753616378559778</v>
      </c>
      <c r="L29" s="7">
        <v>0.552356896190197</v>
      </c>
      <c r="M29" s="7">
        <v>1.3536588812099</v>
      </c>
      <c r="N29" s="7">
        <v>1.79812445015807</v>
      </c>
      <c r="O29" s="7">
        <v>0.520462358655908</v>
      </c>
      <c r="P29" s="7">
        <v>0.53321353962406</v>
      </c>
      <c r="Q29" s="7">
        <v>0.91002128813179</v>
      </c>
      <c r="R29" s="7">
        <v>0.627243334752737</v>
      </c>
      <c r="S29" s="7">
        <v>0.749497861012154</v>
      </c>
      <c r="T29" s="7">
        <v>1.58279136139479</v>
      </c>
      <c r="U29" s="7">
        <v>0.746132802656715</v>
      </c>
      <c r="V29" s="7">
        <v>0.638589190109932</v>
      </c>
      <c r="W29" s="7">
        <v>0.560442756851297</v>
      </c>
      <c r="X29" s="7">
        <v>0.854837361506199</v>
      </c>
      <c r="Y29" s="7">
        <v>1.6866237296691</v>
      </c>
      <c r="Z29" s="7">
        <v>0.857748115372989</v>
      </c>
      <c r="AA29" s="15">
        <f>SUMPRODUCT(C29:Z29,Q_monthly_by_region!B29:Y29)/SUM(Q_monthly_by_region!B29:Y29)</f>
        <v>0.8565997172513027</v>
      </c>
      <c r="AB29" s="3"/>
      <c r="AC29" s="18" t="s">
        <v>142</v>
      </c>
      <c r="AD29" s="21">
        <v>1</v>
      </c>
      <c r="AE29" s="21">
        <v>0.50132204536868</v>
      </c>
      <c r="AF29" s="21">
        <v>0.804466353971026</v>
      </c>
      <c r="AG29" s="21">
        <v>0.730833919326192</v>
      </c>
      <c r="AH29" s="21">
        <v>0.168927547764041</v>
      </c>
      <c r="AI29" s="21">
        <v>0.351409559863688</v>
      </c>
      <c r="AJ29" s="21">
        <v>0.062937397083333</v>
      </c>
      <c r="AK29" s="21">
        <v>-0.027673358805134</v>
      </c>
      <c r="AL29" s="21" t="s">
        <v>142</v>
      </c>
      <c r="AM29" s="21">
        <v>1</v>
      </c>
      <c r="AN29" s="21">
        <v>0.030698909042631</v>
      </c>
      <c r="AO29" s="21">
        <v>7.511004512E-06</v>
      </c>
      <c r="AP29" s="21">
        <v>0.000148150584724</v>
      </c>
      <c r="AQ29" s="21">
        <v>0.631561296010506</v>
      </c>
      <c r="AR29" s="21">
        <v>0.051590250916415</v>
      </c>
      <c r="AS29" s="21">
        <v>0.864872969880026</v>
      </c>
      <c r="AT29" s="21">
        <v>0.680927063378922</v>
      </c>
      <c r="AU29" s="12"/>
      <c r="AV29" s="12"/>
      <c r="AW29" s="12"/>
      <c r="AX29" s="12"/>
      <c r="AY29" s="12"/>
      <c r="AZ29" s="12"/>
      <c r="BA29" s="12"/>
      <c r="BB29" s="10"/>
      <c r="BC29" s="10"/>
      <c r="BD29" s="10"/>
    </row>
    <row r="30" spans="1:46" ht="12.75">
      <c r="A30" t="s">
        <v>155</v>
      </c>
      <c r="B30" t="s">
        <v>255</v>
      </c>
      <c r="C30" s="7">
        <v>1.1636716786365</v>
      </c>
      <c r="D30" s="7">
        <v>0.532405209677419</v>
      </c>
      <c r="E30" s="7">
        <v>0.979743490492257</v>
      </c>
      <c r="F30" s="7">
        <v>0.730703758771946</v>
      </c>
      <c r="G30" s="7">
        <v>0.79524467984881</v>
      </c>
      <c r="H30" s="7">
        <v>0.542987020922792</v>
      </c>
      <c r="I30" s="7">
        <v>0.793318578787189</v>
      </c>
      <c r="J30" s="7">
        <v>0.689672347927837</v>
      </c>
      <c r="K30" s="7">
        <v>0.846261503054384</v>
      </c>
      <c r="L30" s="7">
        <v>0.647837279413044</v>
      </c>
      <c r="M30" s="7">
        <v>1.34350811308679</v>
      </c>
      <c r="N30" s="7">
        <v>2.23748323092996</v>
      </c>
      <c r="O30" s="7">
        <v>0.526461513265823</v>
      </c>
      <c r="P30" s="7">
        <v>0.170432582045026</v>
      </c>
      <c r="Q30" s="7">
        <v>0.870428863125</v>
      </c>
      <c r="R30" s="7">
        <v>0.64646258024603</v>
      </c>
      <c r="S30" s="7">
        <v>0.799964171386731</v>
      </c>
      <c r="T30" s="7">
        <v>1.2205169721337</v>
      </c>
      <c r="U30" s="7">
        <v>0.52326712281065</v>
      </c>
      <c r="V30" s="7">
        <v>0.538738792769518</v>
      </c>
      <c r="W30" s="7">
        <v>0.668902383757818</v>
      </c>
      <c r="X30" s="7">
        <v>0.83235243650703</v>
      </c>
      <c r="Y30" s="7">
        <v>2.31885657513808</v>
      </c>
      <c r="Z30" s="7">
        <v>0.675038423336492</v>
      </c>
      <c r="AA30" s="15">
        <f>SUMPRODUCT(C30:Z30,Q_monthly_by_region!B30:Y30)/SUM(Q_monthly_by_region!B30:Y30)</f>
        <v>0.960287735513003</v>
      </c>
      <c r="AB30" s="3"/>
      <c r="AC30" s="19" t="s">
        <v>164</v>
      </c>
      <c r="AD30" s="21">
        <v>0.50132204536868</v>
      </c>
      <c r="AE30" s="21">
        <v>1</v>
      </c>
      <c r="AF30" s="21">
        <v>0.575883788940103</v>
      </c>
      <c r="AG30" s="21">
        <v>0.224736439858065</v>
      </c>
      <c r="AH30" s="21">
        <v>-0.081870605010653</v>
      </c>
      <c r="AI30" s="21">
        <v>0.02151858854852</v>
      </c>
      <c r="AJ30" s="21">
        <v>-0.055910071229415</v>
      </c>
      <c r="AK30" s="21">
        <v>0.190420276482289</v>
      </c>
      <c r="AL30" s="21" t="s">
        <v>164</v>
      </c>
      <c r="AM30" s="21">
        <v>0.030698909042631</v>
      </c>
      <c r="AN30" s="21">
        <v>1</v>
      </c>
      <c r="AO30" s="21">
        <v>0.010078922925748</v>
      </c>
      <c r="AP30" s="21">
        <v>0.574355147118994</v>
      </c>
      <c r="AQ30" s="21">
        <v>0.566081948294554</v>
      </c>
      <c r="AR30" s="21">
        <v>0.899661607736702</v>
      </c>
      <c r="AS30" s="21">
        <v>0.546438698921594</v>
      </c>
      <c r="AT30" s="21">
        <v>0.593278016733688</v>
      </c>
    </row>
    <row r="31" spans="1:56" ht="12.75">
      <c r="A31" t="s">
        <v>155</v>
      </c>
      <c r="B31" t="s">
        <v>256</v>
      </c>
      <c r="C31" s="7">
        <v>0.266945887294192</v>
      </c>
      <c r="D31" s="7">
        <v>0.210040853828456</v>
      </c>
      <c r="E31" s="7">
        <v>0.315586477839537</v>
      </c>
      <c r="F31" s="7">
        <v>0.249689441615921</v>
      </c>
      <c r="G31" s="7">
        <v>0.269650182517608</v>
      </c>
      <c r="H31" s="7">
        <v>0.352149605979076</v>
      </c>
      <c r="I31" s="7">
        <v>0.234312335335254</v>
      </c>
      <c r="J31" s="7">
        <v>0.190335678523751</v>
      </c>
      <c r="K31" s="7">
        <v>1.05828539862015</v>
      </c>
      <c r="L31" s="7">
        <v>0.542277463971248</v>
      </c>
      <c r="M31" s="7">
        <v>0.307693190643251</v>
      </c>
      <c r="N31" s="7">
        <v>0.352612296569635</v>
      </c>
      <c r="O31" s="7">
        <v>0.187981210209204</v>
      </c>
      <c r="P31" s="7">
        <v>0.390590603275994</v>
      </c>
      <c r="Q31" s="7">
        <v>0.564303276487675</v>
      </c>
      <c r="R31" s="7">
        <v>0.379489590735346</v>
      </c>
      <c r="S31" s="7">
        <v>0.304588914706704</v>
      </c>
      <c r="T31" s="7">
        <v>0.168271556987327</v>
      </c>
      <c r="U31" s="7">
        <v>0.252247392735474</v>
      </c>
      <c r="V31" s="7">
        <v>0.366202526571212</v>
      </c>
      <c r="W31" s="7">
        <v>0.43848336611767</v>
      </c>
      <c r="X31" s="7">
        <v>0.473888782795733</v>
      </c>
      <c r="Y31" s="7">
        <v>0.761218251597918</v>
      </c>
      <c r="Z31" s="7">
        <v>0.465829805353473</v>
      </c>
      <c r="AA31" s="15">
        <f>SUMPRODUCT(C31:Z31,Q_monthly_by_region!B31:Y31)/SUM(Q_monthly_by_region!B31:Y31)</f>
        <v>0.3519832539386485</v>
      </c>
      <c r="AB31" s="3"/>
      <c r="AC31" s="18" t="s">
        <v>143</v>
      </c>
      <c r="AD31" s="21">
        <v>0.804466353971026</v>
      </c>
      <c r="AE31" s="21">
        <v>0.575883788940103</v>
      </c>
      <c r="AF31" s="21">
        <v>1</v>
      </c>
      <c r="AG31" s="21">
        <v>0.920147645761162</v>
      </c>
      <c r="AH31" s="21">
        <v>0.34121572697245</v>
      </c>
      <c r="AI31" s="21">
        <v>0.127266362929741</v>
      </c>
      <c r="AJ31" s="21">
        <v>0.267132747951384</v>
      </c>
      <c r="AK31" s="21">
        <v>0.361669289468533</v>
      </c>
      <c r="AL31" s="21" t="s">
        <v>143</v>
      </c>
      <c r="AM31" s="21">
        <v>7.511004512E-06</v>
      </c>
      <c r="AN31" s="21">
        <v>0.010078922925748</v>
      </c>
      <c r="AO31" s="21">
        <v>1</v>
      </c>
      <c r="AP31" s="21">
        <v>1.105838E-09</v>
      </c>
      <c r="AQ31" s="21">
        <v>0.131678592647014</v>
      </c>
      <c r="AR31" s="21">
        <v>0.455678827974086</v>
      </c>
      <c r="AS31" s="21">
        <v>0.296223151025625</v>
      </c>
      <c r="AT31" s="21">
        <v>0.180854399829684</v>
      </c>
      <c r="AU31" s="12"/>
      <c r="AV31" s="12"/>
      <c r="AW31" s="12"/>
      <c r="AX31" s="12"/>
      <c r="AY31" s="12"/>
      <c r="AZ31" s="12"/>
      <c r="BA31" s="12"/>
      <c r="BB31" s="10"/>
      <c r="BC31" s="10"/>
      <c r="BD31" s="10"/>
    </row>
    <row r="32" spans="1:56" ht="12.75">
      <c r="A32" t="s">
        <v>156</v>
      </c>
      <c r="B32" t="s">
        <v>253</v>
      </c>
      <c r="C32" s="7">
        <v>0.767501054857851</v>
      </c>
      <c r="D32" s="7">
        <v>0.63920435357293</v>
      </c>
      <c r="E32" s="7">
        <v>0.770350586510882</v>
      </c>
      <c r="F32" s="7">
        <v>0.669093081819227</v>
      </c>
      <c r="G32" s="7">
        <v>0.754066981942552</v>
      </c>
      <c r="H32" s="7">
        <v>0.840219611232734</v>
      </c>
      <c r="I32" s="7">
        <v>0.936680253120671</v>
      </c>
      <c r="J32" s="7">
        <v>1.22929958859757</v>
      </c>
      <c r="K32" s="7">
        <v>1.24970447141259</v>
      </c>
      <c r="L32" s="7">
        <v>1.0223309432174</v>
      </c>
      <c r="M32" s="7">
        <v>0.952001911381019</v>
      </c>
      <c r="N32" s="7">
        <v>0.695957098008946</v>
      </c>
      <c r="O32" s="7">
        <v>0.377467775963722</v>
      </c>
      <c r="P32" s="7">
        <v>0.468419424933529</v>
      </c>
      <c r="Q32" s="7">
        <v>0.615126797038646</v>
      </c>
      <c r="R32" s="7">
        <v>0.036929699546371</v>
      </c>
      <c r="S32" s="7">
        <v>0.663142787603672</v>
      </c>
      <c r="T32" s="7">
        <v>0</v>
      </c>
      <c r="U32" s="7">
        <v>1.04000255257629</v>
      </c>
      <c r="V32" s="7">
        <v>2.18027636936953</v>
      </c>
      <c r="W32" s="7">
        <v>0.914214927222051</v>
      </c>
      <c r="X32" s="7">
        <v>1.55561551816198</v>
      </c>
      <c r="Y32" s="7">
        <v>1.09141099247914</v>
      </c>
      <c r="Z32" s="7">
        <v>0.640716940229175</v>
      </c>
      <c r="AA32" s="15">
        <f>SUMPRODUCT(C32:Z32,Q_monthly_by_region!B32:Y32)/SUM(Q_monthly_by_region!B32:Y32)</f>
        <v>0.7039438926542745</v>
      </c>
      <c r="AB32" s="3"/>
      <c r="AC32" s="18" t="s">
        <v>144</v>
      </c>
      <c r="AD32" s="21">
        <v>0.730833919326192</v>
      </c>
      <c r="AE32" s="21">
        <v>0.224736439858065</v>
      </c>
      <c r="AF32" s="21">
        <v>0.920147645761162</v>
      </c>
      <c r="AG32" s="21">
        <v>1</v>
      </c>
      <c r="AH32" s="21">
        <v>0.359030446551865</v>
      </c>
      <c r="AI32" s="21">
        <v>0.116030781246764</v>
      </c>
      <c r="AJ32" s="21">
        <v>0.323025910290228</v>
      </c>
      <c r="AK32" s="21">
        <v>0.308770691248067</v>
      </c>
      <c r="AL32" s="21" t="s">
        <v>144</v>
      </c>
      <c r="AM32" s="21">
        <v>0.000148150584724</v>
      </c>
      <c r="AN32" s="21">
        <v>0.574355147118994</v>
      </c>
      <c r="AO32" s="21">
        <v>1.105838E-09</v>
      </c>
      <c r="AP32" s="21">
        <v>1</v>
      </c>
      <c r="AQ32" s="21">
        <v>0.110294080137488</v>
      </c>
      <c r="AR32" s="21">
        <v>0.491239928180042</v>
      </c>
      <c r="AS32" s="21">
        <v>0.154406706519318</v>
      </c>
      <c r="AT32" s="21">
        <v>0.275907523218572</v>
      </c>
      <c r="AU32" s="12"/>
      <c r="AV32" s="12"/>
      <c r="AW32" s="12"/>
      <c r="AX32" s="12"/>
      <c r="AY32" s="12"/>
      <c r="AZ32" s="12"/>
      <c r="BA32" s="12"/>
      <c r="BB32" s="10"/>
      <c r="BC32" s="10"/>
      <c r="BD32" s="10"/>
    </row>
    <row r="33" spans="1:56" ht="12.75">
      <c r="A33" t="s">
        <v>156</v>
      </c>
      <c r="B33" t="s">
        <v>149</v>
      </c>
      <c r="C33" s="7">
        <v>17.6345102273297</v>
      </c>
      <c r="D33" s="7">
        <v>15.2052399481961</v>
      </c>
      <c r="E33" s="7">
        <v>16.4459745992758</v>
      </c>
      <c r="F33" s="7">
        <v>17.5551281138819</v>
      </c>
      <c r="G33" s="7">
        <v>15.7134457402778</v>
      </c>
      <c r="H33" s="7">
        <v>16.4964726808374</v>
      </c>
      <c r="I33" s="7">
        <v>5.39323501086391</v>
      </c>
      <c r="J33" s="7">
        <v>15.5484567266914</v>
      </c>
      <c r="K33" s="7">
        <v>12.5458997319598</v>
      </c>
      <c r="L33" s="7">
        <v>15.7961789588949</v>
      </c>
      <c r="M33" s="7">
        <v>16.6189465306773</v>
      </c>
      <c r="N33" s="7">
        <v>17.2472022007835</v>
      </c>
      <c r="O33" s="7">
        <v>14.1893482106918</v>
      </c>
      <c r="P33" s="7">
        <v>19.1572104563228</v>
      </c>
      <c r="Q33" s="7">
        <v>17.0160506945</v>
      </c>
      <c r="R33" s="7">
        <v>16.1669981586592</v>
      </c>
      <c r="S33" s="7">
        <v>16.2372272649537</v>
      </c>
      <c r="T33" s="7">
        <v>20.6228449210281</v>
      </c>
      <c r="U33" s="7">
        <v>18.8582726174312</v>
      </c>
      <c r="V33" s="7">
        <v>21.9051544755815</v>
      </c>
      <c r="W33" s="7">
        <v>9.34530814493651</v>
      </c>
      <c r="X33" s="7">
        <v>8.62464254710327</v>
      </c>
      <c r="Y33" s="7">
        <v>18.0338469468629</v>
      </c>
      <c r="Z33" s="7">
        <v>5.70804622174047</v>
      </c>
      <c r="AA33" s="15">
        <f>SUMPRODUCT(C33:Z33,Q_monthly_by_region!B33:Y33)/SUM(Q_monthly_by_region!B33:Y33)</f>
        <v>15.463350092627032</v>
      </c>
      <c r="AB33" s="3"/>
      <c r="AC33" s="18" t="s">
        <v>145</v>
      </c>
      <c r="AD33" s="21">
        <v>0.168927547764041</v>
      </c>
      <c r="AE33" s="21">
        <v>-0.081870605010653</v>
      </c>
      <c r="AF33" s="21">
        <v>0.34121572697245</v>
      </c>
      <c r="AG33" s="21">
        <v>0.359030446551865</v>
      </c>
      <c r="AH33" s="21">
        <v>1</v>
      </c>
      <c r="AI33" s="21">
        <v>0.043253264643925</v>
      </c>
      <c r="AJ33" s="21">
        <v>0.054096055958198</v>
      </c>
      <c r="AK33" s="21">
        <v>0.227692647843386</v>
      </c>
      <c r="AL33" s="21" t="s">
        <v>145</v>
      </c>
      <c r="AM33" s="21">
        <v>0.631561296010506</v>
      </c>
      <c r="AN33" s="21">
        <v>0.566081948294554</v>
      </c>
      <c r="AO33" s="21">
        <v>0.131678592647014</v>
      </c>
      <c r="AP33" s="21">
        <v>0.110294080137488</v>
      </c>
      <c r="AQ33" s="21">
        <v>1</v>
      </c>
      <c r="AR33" s="21">
        <v>0.96230167482684</v>
      </c>
      <c r="AS33" s="21">
        <v>0.83465510120978</v>
      </c>
      <c r="AT33" s="21">
        <v>0.43579080198797</v>
      </c>
      <c r="AU33" s="12"/>
      <c r="AV33" s="12"/>
      <c r="AW33" s="12"/>
      <c r="AX33" s="12"/>
      <c r="AY33" s="12"/>
      <c r="AZ33" s="12"/>
      <c r="BA33" s="12"/>
      <c r="BB33" s="10"/>
      <c r="BC33" s="10"/>
      <c r="BD33" s="10"/>
    </row>
    <row r="34" spans="1:56" ht="12.75">
      <c r="A34" t="s">
        <v>156</v>
      </c>
      <c r="B34" t="s">
        <v>254</v>
      </c>
      <c r="C34" s="7">
        <v>9.10269164725896</v>
      </c>
      <c r="D34" s="7">
        <v>8.94960694955102</v>
      </c>
      <c r="E34" s="7">
        <v>11.5084548718238</v>
      </c>
      <c r="F34" s="7">
        <v>7.52383067996507</v>
      </c>
      <c r="G34" s="7">
        <v>6.41136496664979</v>
      </c>
      <c r="H34" s="7">
        <v>9.00257445045434</v>
      </c>
      <c r="I34" s="7">
        <v>10.2554988277526</v>
      </c>
      <c r="J34" s="7">
        <v>16.5390240143288</v>
      </c>
      <c r="K34" s="7">
        <v>22.0019571733436</v>
      </c>
      <c r="L34" s="7">
        <v>15.9172126680773</v>
      </c>
      <c r="M34" s="7">
        <v>12.6614988934448</v>
      </c>
      <c r="N34" s="7">
        <v>10.9321960737296</v>
      </c>
      <c r="O34" s="7">
        <v>7.81573732875943</v>
      </c>
      <c r="P34" s="7">
        <v>9.8544170891568</v>
      </c>
      <c r="Q34" s="7">
        <v>8.52986565460477</v>
      </c>
      <c r="R34" s="7">
        <v>8.86151686650052</v>
      </c>
      <c r="S34" s="7">
        <v>16.7468107639017</v>
      </c>
      <c r="T34" s="7">
        <v>12.0914434464323</v>
      </c>
      <c r="U34" s="7">
        <v>19.3797337125348</v>
      </c>
      <c r="V34" s="7">
        <v>16.942351409309</v>
      </c>
      <c r="W34" s="7">
        <v>18.9798549228924</v>
      </c>
      <c r="X34" s="7">
        <v>20.4819277765249</v>
      </c>
      <c r="Y34" s="7">
        <v>8.65756032786138</v>
      </c>
      <c r="Z34" s="7">
        <v>6.2116654611766</v>
      </c>
      <c r="AA34" s="15">
        <f>SUMPRODUCT(C34:Z34,Q_monthly_by_region!B34:Y34)/SUM(Q_monthly_by_region!B34:Y34)</f>
        <v>9.376671609876047</v>
      </c>
      <c r="AC34" s="18" t="s">
        <v>146</v>
      </c>
      <c r="AD34" s="21">
        <v>0.351409559863688</v>
      </c>
      <c r="AE34" s="21">
        <v>0.02151858854852</v>
      </c>
      <c r="AF34" s="21">
        <v>0.127266362929741</v>
      </c>
      <c r="AG34" s="21">
        <v>0.116030781246764</v>
      </c>
      <c r="AH34" s="21">
        <v>0.043253264643925</v>
      </c>
      <c r="AI34" s="21">
        <v>1</v>
      </c>
      <c r="AJ34" s="21">
        <v>0.347369937335037</v>
      </c>
      <c r="AK34" s="21">
        <v>-0.030521891537301</v>
      </c>
      <c r="AL34" s="21" t="s">
        <v>146</v>
      </c>
      <c r="AM34" s="21">
        <v>0.051590250916415</v>
      </c>
      <c r="AN34" s="21">
        <v>0.899661607736702</v>
      </c>
      <c r="AO34" s="21">
        <v>0.455678827974086</v>
      </c>
      <c r="AP34" s="21">
        <v>0.491239928180042</v>
      </c>
      <c r="AQ34" s="21">
        <v>0.96230167482684</v>
      </c>
      <c r="AR34" s="21">
        <v>1</v>
      </c>
      <c r="AS34" s="21">
        <v>0.069756587553134</v>
      </c>
      <c r="AT34" s="21">
        <v>0.878997385670514</v>
      </c>
      <c r="BC34" s="10"/>
      <c r="BD34" s="10"/>
    </row>
    <row r="35" spans="1:56" ht="12.75">
      <c r="A35" t="s">
        <v>156</v>
      </c>
      <c r="B35" t="s">
        <v>255</v>
      </c>
      <c r="C35" s="7">
        <v>9.48039501264062</v>
      </c>
      <c r="D35" s="7">
        <v>6.98969974606129</v>
      </c>
      <c r="E35" s="7">
        <v>22.2937932663658</v>
      </c>
      <c r="F35" s="7">
        <v>9.42315491360762</v>
      </c>
      <c r="G35" s="7">
        <v>8.04019660719109</v>
      </c>
      <c r="H35" s="7">
        <v>8.58074707820465</v>
      </c>
      <c r="I35" s="7">
        <v>9.99347534864461</v>
      </c>
      <c r="J35" s="7">
        <v>13.9681757546423</v>
      </c>
      <c r="K35" s="7">
        <v>22.5956165260946</v>
      </c>
      <c r="L35" s="7">
        <v>15.7736567870869</v>
      </c>
      <c r="M35" s="7">
        <v>10.2750939100408</v>
      </c>
      <c r="N35" s="7">
        <v>9.98919485227168</v>
      </c>
      <c r="O35" s="7">
        <v>7.49274794617056</v>
      </c>
      <c r="P35" s="7">
        <v>8.29630851847203</v>
      </c>
      <c r="Q35" s="7">
        <v>7.876863190625</v>
      </c>
      <c r="R35" s="7">
        <v>5.1992004355631</v>
      </c>
      <c r="S35" s="7">
        <v>14.7097507340059</v>
      </c>
      <c r="T35" s="7">
        <v>8.25609235879916</v>
      </c>
      <c r="U35" s="7">
        <v>15.4944993320576</v>
      </c>
      <c r="V35" s="7">
        <v>10.0584994041059</v>
      </c>
      <c r="W35" s="7">
        <v>13.5608547537937</v>
      </c>
      <c r="X35" s="7">
        <v>17.6815879642156</v>
      </c>
      <c r="Y35" s="7">
        <v>9.18185039364221</v>
      </c>
      <c r="Z35" s="7">
        <v>4.10138950720037</v>
      </c>
      <c r="AA35" s="15">
        <f>SUMPRODUCT(C35:Z35,Q_monthly_by_region!B35:Y35)/SUM(Q_monthly_by_region!B35:Y35)</f>
        <v>9.47213002536055</v>
      </c>
      <c r="AC35" s="18" t="s">
        <v>147</v>
      </c>
      <c r="AD35" s="21">
        <v>0.062937397083333</v>
      </c>
      <c r="AE35" s="21">
        <v>-0.055910071229415</v>
      </c>
      <c r="AF35" s="21">
        <v>0.267132747951384</v>
      </c>
      <c r="AG35" s="21">
        <v>0.323025910290228</v>
      </c>
      <c r="AH35" s="21">
        <v>0.054096055958198</v>
      </c>
      <c r="AI35" s="21">
        <v>0.347369937335037</v>
      </c>
      <c r="AJ35" s="21">
        <v>1</v>
      </c>
      <c r="AK35" s="21">
        <v>0.523220887933245</v>
      </c>
      <c r="AL35" s="21" t="s">
        <v>147</v>
      </c>
      <c r="AM35" s="21">
        <v>0.864872969880026</v>
      </c>
      <c r="AN35" s="21">
        <v>0.546438698921594</v>
      </c>
      <c r="AO35" s="21">
        <v>0.296223151025625</v>
      </c>
      <c r="AP35" s="21">
        <v>0.154406706519318</v>
      </c>
      <c r="AQ35" s="21">
        <v>0.83465510120978</v>
      </c>
      <c r="AR35" s="21">
        <v>0.069756587553134</v>
      </c>
      <c r="AS35" s="21">
        <v>1</v>
      </c>
      <c r="AT35" s="21">
        <v>0.018184582605763</v>
      </c>
      <c r="AU35" s="12"/>
      <c r="AV35" s="12"/>
      <c r="AW35" s="12"/>
      <c r="AX35" s="12"/>
      <c r="AY35" s="12"/>
      <c r="AZ35" s="12"/>
      <c r="BA35" s="12"/>
      <c r="BB35" s="10"/>
      <c r="BC35" s="10"/>
      <c r="BD35" s="10"/>
    </row>
    <row r="36" spans="1:56" ht="12.75">
      <c r="A36" t="s">
        <v>156</v>
      </c>
      <c r="B36" t="s">
        <v>256</v>
      </c>
      <c r="C36" s="7">
        <v>1.27634646989708</v>
      </c>
      <c r="D36" s="7">
        <v>1.5130081269064</v>
      </c>
      <c r="E36" s="7">
        <v>2.44204137901946</v>
      </c>
      <c r="F36" s="7">
        <v>1.18447054677679</v>
      </c>
      <c r="G36" s="7">
        <v>1.68313033357197</v>
      </c>
      <c r="H36" s="7">
        <v>1.15683731327817</v>
      </c>
      <c r="I36" s="7">
        <v>0.891676885005699</v>
      </c>
      <c r="J36" s="7">
        <v>1.89561490742468</v>
      </c>
      <c r="K36" s="7">
        <v>4.10114261192959</v>
      </c>
      <c r="L36" s="7">
        <v>2.22433296436082</v>
      </c>
      <c r="M36" s="7">
        <v>1.24336997536118</v>
      </c>
      <c r="N36" s="7">
        <v>2.58271310018863</v>
      </c>
      <c r="O36" s="7">
        <v>2.79148283031064</v>
      </c>
      <c r="P36" s="7">
        <v>2.13744391970599</v>
      </c>
      <c r="Q36" s="7">
        <v>1.04033308907746</v>
      </c>
      <c r="R36" s="7">
        <v>1.0419663861461</v>
      </c>
      <c r="S36" s="7">
        <v>2.2155162649244</v>
      </c>
      <c r="T36" s="7">
        <v>0.19378166999369</v>
      </c>
      <c r="U36" s="7">
        <v>7.93136409619117</v>
      </c>
      <c r="V36" s="7">
        <v>1.34951983544261</v>
      </c>
      <c r="W36" s="7">
        <v>5.10614764750659</v>
      </c>
      <c r="X36" s="7">
        <v>6.38288386841503</v>
      </c>
      <c r="Y36" s="7">
        <v>2.06412093153343</v>
      </c>
      <c r="Z36" s="7">
        <v>4.06127062466672</v>
      </c>
      <c r="AA36" s="15">
        <f>SUMPRODUCT(C36:Z36,Q_monthly_by_region!B36:Y36)/SUM(Q_monthly_by_region!B36:Y36)</f>
        <v>2.1330239184254927</v>
      </c>
      <c r="AC36" s="18" t="s">
        <v>148</v>
      </c>
      <c r="AD36" s="21">
        <v>-0.027673358805134</v>
      </c>
      <c r="AE36" s="21">
        <v>0.190420276482289</v>
      </c>
      <c r="AF36" s="21">
        <v>0.361669289468533</v>
      </c>
      <c r="AG36" s="21">
        <v>0.308770691248067</v>
      </c>
      <c r="AH36" s="21">
        <v>0.227692647843386</v>
      </c>
      <c r="AI36" s="21">
        <v>-0.030521891537301</v>
      </c>
      <c r="AJ36" s="21">
        <v>0.523220887933245</v>
      </c>
      <c r="AK36" s="21">
        <v>1</v>
      </c>
      <c r="AL36" s="21" t="s">
        <v>148</v>
      </c>
      <c r="AM36" s="21">
        <v>0.680927063378922</v>
      </c>
      <c r="AN36" s="21">
        <v>0.593278016733688</v>
      </c>
      <c r="AO36" s="21">
        <v>0.180854399829684</v>
      </c>
      <c r="AP36" s="21">
        <v>0.275907523218572</v>
      </c>
      <c r="AQ36" s="21">
        <v>0.43579080198797</v>
      </c>
      <c r="AR36" s="21">
        <v>0.878997385670514</v>
      </c>
      <c r="AS36" s="21">
        <v>0.018184582605763</v>
      </c>
      <c r="AT36" s="21">
        <v>1</v>
      </c>
      <c r="AU36" s="12"/>
      <c r="AV36" s="12"/>
      <c r="AW36" s="12"/>
      <c r="AX36" s="12"/>
      <c r="AY36" s="12"/>
      <c r="AZ36" s="12"/>
      <c r="BA36" s="12"/>
      <c r="BB36" s="10"/>
      <c r="BC36" s="10"/>
      <c r="BD36" s="10"/>
    </row>
    <row r="37" spans="1:56" ht="12.75">
      <c r="A37" t="s">
        <v>157</v>
      </c>
      <c r="B37" t="s">
        <v>253</v>
      </c>
      <c r="C37" s="7">
        <v>3014.71308693807</v>
      </c>
      <c r="D37" s="7">
        <v>2654.83598496031</v>
      </c>
      <c r="E37" s="7">
        <v>3026.40999667763</v>
      </c>
      <c r="F37" s="7">
        <v>3265.67520669006</v>
      </c>
      <c r="G37" s="7">
        <v>3089.49716580066</v>
      </c>
      <c r="H37" s="7">
        <v>2892.79743753403</v>
      </c>
      <c r="I37" s="7">
        <v>3109.80000331147</v>
      </c>
      <c r="J37" s="7">
        <v>2832.20267490828</v>
      </c>
      <c r="K37" s="7">
        <v>2665.2989836494</v>
      </c>
      <c r="L37" s="7">
        <v>2795.37866982684</v>
      </c>
      <c r="M37" s="7">
        <v>3101.92036960067</v>
      </c>
      <c r="N37" s="7">
        <v>3048.28070800682</v>
      </c>
      <c r="O37" s="7">
        <v>3005.52649558404</v>
      </c>
      <c r="P37" s="7">
        <v>2716.8679931404</v>
      </c>
      <c r="Q37" s="7">
        <v>3061.58888081004</v>
      </c>
      <c r="R37" s="7">
        <v>3173.223939325</v>
      </c>
      <c r="S37" s="7">
        <v>3192.48040466069</v>
      </c>
      <c r="T37" s="7">
        <v>2816.15903792134</v>
      </c>
      <c r="U37" s="7">
        <v>2665.4281173429</v>
      </c>
      <c r="V37" s="7">
        <v>2734.09396155631</v>
      </c>
      <c r="W37" s="7">
        <v>2614.87937871777</v>
      </c>
      <c r="X37" s="7">
        <v>2883.59645523111</v>
      </c>
      <c r="Y37" s="7">
        <v>2568.26337016958</v>
      </c>
      <c r="Z37" s="7">
        <v>2886.72231609901</v>
      </c>
      <c r="AA37" s="15">
        <f>SUMPRODUCT(C37:Z37,Q_monthly_by_region!B37:Y37)/SUM(Q_monthly_by_region!B37:Y37)</f>
        <v>2927.9650361784898</v>
      </c>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0"/>
      <c r="BC37" s="10"/>
      <c r="BD37" s="10"/>
    </row>
    <row r="38" spans="1:27" ht="13.5" thickBot="1">
      <c r="A38" t="s">
        <v>157</v>
      </c>
      <c r="B38" t="s">
        <v>149</v>
      </c>
      <c r="C38" s="7">
        <v>5776.72106937882</v>
      </c>
      <c r="D38" s="7">
        <v>5041.13339703758</v>
      </c>
      <c r="E38" s="7">
        <v>6401.96707744584</v>
      </c>
      <c r="F38" s="7">
        <v>6224.99507224416</v>
      </c>
      <c r="G38" s="7">
        <v>6166.22337670561</v>
      </c>
      <c r="H38" s="7">
        <v>6073.27948236217</v>
      </c>
      <c r="I38" s="7">
        <v>6600.66273790139</v>
      </c>
      <c r="J38" s="7">
        <v>6447.55220701379</v>
      </c>
      <c r="K38" s="7">
        <v>6088.49207414364</v>
      </c>
      <c r="L38" s="7">
        <v>6284.08887371546</v>
      </c>
      <c r="M38" s="7">
        <v>6226.70101909527</v>
      </c>
      <c r="N38" s="7">
        <v>6544.05751066618</v>
      </c>
      <c r="O38" s="7">
        <v>5840.41770784553</v>
      </c>
      <c r="P38" s="7">
        <v>5730.7212029056</v>
      </c>
      <c r="Q38" s="7">
        <v>6186.43490904009</v>
      </c>
      <c r="R38" s="7">
        <v>5712.996782025</v>
      </c>
      <c r="S38" s="7">
        <v>5213.41619415596</v>
      </c>
      <c r="T38" s="7">
        <v>6048.71952422752</v>
      </c>
      <c r="U38" s="7">
        <v>6605.31350267981</v>
      </c>
      <c r="V38" s="7">
        <v>6913.48032157117</v>
      </c>
      <c r="W38" s="7">
        <v>5933.28651685393</v>
      </c>
      <c r="X38" s="7">
        <v>6441.95054518956</v>
      </c>
      <c r="Y38" s="7">
        <v>5312.17695332858</v>
      </c>
      <c r="Z38" s="7">
        <v>5131.03311705857</v>
      </c>
      <c r="AA38" s="15">
        <f>SUMPRODUCT(C38:Z38,Q_monthly_by_region!B38:Y38)/SUM(Q_monthly_by_region!B38:Y38)</f>
        <v>5842.287900484363</v>
      </c>
    </row>
    <row r="39" spans="1:56" ht="13.5" thickTop="1">
      <c r="A39" t="s">
        <v>157</v>
      </c>
      <c r="B39" t="s">
        <v>254</v>
      </c>
      <c r="C39" s="7">
        <v>6016.44466994366</v>
      </c>
      <c r="D39" s="7">
        <v>5929.95467406802</v>
      </c>
      <c r="E39" s="7">
        <v>6276.34485529637</v>
      </c>
      <c r="F39" s="7">
        <v>6646.31234890007</v>
      </c>
      <c r="G39" s="7">
        <v>6207.11486888205</v>
      </c>
      <c r="H39" s="7">
        <v>6678.80659767218</v>
      </c>
      <c r="I39" s="7">
        <v>7872.85762409192</v>
      </c>
      <c r="J39" s="7">
        <v>8221.0000498067</v>
      </c>
      <c r="K39" s="7">
        <v>7350.02339273831</v>
      </c>
      <c r="L39" s="7">
        <v>7935.5157279479</v>
      </c>
      <c r="M39" s="7">
        <v>7109.37982384467</v>
      </c>
      <c r="N39" s="7">
        <v>6420.75837824431</v>
      </c>
      <c r="O39" s="7">
        <v>5878.85999231239</v>
      </c>
      <c r="P39" s="7">
        <v>6463.59592270147</v>
      </c>
      <c r="Q39" s="7">
        <v>6528.60321841067</v>
      </c>
      <c r="R39" s="7">
        <v>6659.48611483218</v>
      </c>
      <c r="S39" s="7">
        <v>5876.44271093419</v>
      </c>
      <c r="T39" s="7">
        <v>8107.12919681032</v>
      </c>
      <c r="U39" s="7">
        <v>8285.11329763153</v>
      </c>
      <c r="V39" s="7">
        <v>8650.47685385658</v>
      </c>
      <c r="W39" s="7">
        <v>8404.66399182595</v>
      </c>
      <c r="X39" s="7">
        <v>9251.54005806828</v>
      </c>
      <c r="Y39" s="7">
        <v>5596.69946608592</v>
      </c>
      <c r="Z39" s="7">
        <v>5439.74324474289</v>
      </c>
      <c r="AA39" s="15">
        <f>SUMPRODUCT(C39:Z39,Q_monthly_by_region!B39:Y39)/SUM(Q_monthly_by_region!B39:Y39)</f>
        <v>6296.066169251118</v>
      </c>
      <c r="AC39" s="18" t="s">
        <v>142</v>
      </c>
      <c r="AD39" s="153">
        <v>1</v>
      </c>
      <c r="AE39" s="154">
        <v>0.012572366535677</v>
      </c>
      <c r="AF39" s="154">
        <v>2.158543096E-06</v>
      </c>
      <c r="AG39" s="154">
        <v>4.9930203972E-05</v>
      </c>
      <c r="AH39" s="154">
        <v>0.43005964757622</v>
      </c>
      <c r="AI39" s="154">
        <v>0.09221301282392</v>
      </c>
      <c r="AJ39" s="154">
        <v>0.770165144396832</v>
      </c>
      <c r="AK39" s="155">
        <v>0.897865597256505</v>
      </c>
      <c r="AL39" s="12"/>
      <c r="AM39" s="12"/>
      <c r="AN39" s="12"/>
      <c r="AO39" s="12"/>
      <c r="AP39" s="12"/>
      <c r="AQ39" s="12"/>
      <c r="AR39" s="12"/>
      <c r="AS39" s="12"/>
      <c r="AT39" s="12"/>
      <c r="AU39" s="12"/>
      <c r="AV39" s="12"/>
      <c r="AW39" s="12"/>
      <c r="AX39" s="12"/>
      <c r="AY39" s="12"/>
      <c r="AZ39" s="12"/>
      <c r="BA39" s="12"/>
      <c r="BB39" s="10"/>
      <c r="BC39" s="10"/>
      <c r="BD39" s="10"/>
    </row>
    <row r="40" spans="1:56" ht="12.75">
      <c r="A40" t="s">
        <v>157</v>
      </c>
      <c r="B40" t="s">
        <v>255</v>
      </c>
      <c r="C40" s="7">
        <v>6271.76675882559</v>
      </c>
      <c r="D40" s="7">
        <v>5503.55582009224</v>
      </c>
      <c r="E40" s="7">
        <v>7242.94652846157</v>
      </c>
      <c r="F40" s="7">
        <v>6859.08598716906</v>
      </c>
      <c r="G40" s="7">
        <v>6965.07142747327</v>
      </c>
      <c r="H40" s="7">
        <v>7299.7408609377</v>
      </c>
      <c r="I40" s="7">
        <v>8443.32758120298</v>
      </c>
      <c r="J40" s="7">
        <v>8680.27926748331</v>
      </c>
      <c r="K40" s="7">
        <v>7582.64189215006</v>
      </c>
      <c r="L40" s="7">
        <v>8239.82367320332</v>
      </c>
      <c r="M40" s="7">
        <v>6961.27342589936</v>
      </c>
      <c r="N40" s="7">
        <v>6423.02691894736</v>
      </c>
      <c r="O40" s="7">
        <v>5907.20044788748</v>
      </c>
      <c r="P40" s="7">
        <v>6525.1418803389</v>
      </c>
      <c r="Q40" s="7">
        <v>6882.79415717261</v>
      </c>
      <c r="R40" s="7">
        <v>6601.31764722851</v>
      </c>
      <c r="S40" s="7">
        <v>6449.1014455973</v>
      </c>
      <c r="T40" s="7">
        <v>8293.08595401378</v>
      </c>
      <c r="U40" s="7">
        <v>8388.61879630263</v>
      </c>
      <c r="V40" s="7">
        <v>6133.73722836768</v>
      </c>
      <c r="W40" s="7">
        <v>8652.58902015862</v>
      </c>
      <c r="X40" s="7">
        <v>8863.58526123572</v>
      </c>
      <c r="Y40" s="7">
        <v>6533.38617908122</v>
      </c>
      <c r="Z40" s="7">
        <v>4695.21018913354</v>
      </c>
      <c r="AA40" s="15">
        <f>SUMPRODUCT(C40:Z40,Q_monthly_by_region!B40:Y40)/SUM(Q_monthly_by_region!B40:Y40)</f>
        <v>6457.533530680106</v>
      </c>
      <c r="AC40" s="19" t="s">
        <v>164</v>
      </c>
      <c r="AD40" s="156">
        <v>0.012572366535677</v>
      </c>
      <c r="AE40" s="157">
        <v>1</v>
      </c>
      <c r="AF40" s="157">
        <v>0.003231169264964</v>
      </c>
      <c r="AG40" s="157">
        <v>0.29106605856043</v>
      </c>
      <c r="AH40" s="157">
        <v>0.703714832302961</v>
      </c>
      <c r="AI40" s="157">
        <v>0.920500993389022</v>
      </c>
      <c r="AJ40" s="157">
        <v>0.79526252356315</v>
      </c>
      <c r="AK40" s="158">
        <v>0.372789876340366</v>
      </c>
      <c r="AL40" s="12"/>
      <c r="AM40" s="12"/>
      <c r="AN40" s="12"/>
      <c r="AO40" s="12"/>
      <c r="AP40" s="12"/>
      <c r="AQ40" s="12"/>
      <c r="AR40" s="12"/>
      <c r="AS40" s="12"/>
      <c r="AT40" s="12"/>
      <c r="AU40" s="12"/>
      <c r="AV40" s="12"/>
      <c r="AW40" s="12"/>
      <c r="AX40" s="12"/>
      <c r="AY40" s="12"/>
      <c r="AZ40" s="12"/>
      <c r="BA40" s="12"/>
      <c r="BB40" s="10"/>
      <c r="BC40" s="10"/>
      <c r="BD40" s="10"/>
    </row>
    <row r="41" spans="1:56" ht="12.75">
      <c r="A41" t="s">
        <v>157</v>
      </c>
      <c r="B41" t="s">
        <v>256</v>
      </c>
      <c r="C41" s="7">
        <v>3711.80680545832</v>
      </c>
      <c r="D41" s="7">
        <v>3341.1218668844</v>
      </c>
      <c r="E41" s="7">
        <v>4095.28343004871</v>
      </c>
      <c r="F41" s="7">
        <v>4029.30637184197</v>
      </c>
      <c r="G41" s="7">
        <v>3566.95398134277</v>
      </c>
      <c r="H41" s="7">
        <v>3763.46239904005</v>
      </c>
      <c r="I41" s="7">
        <v>3909.50872401071</v>
      </c>
      <c r="J41" s="7">
        <v>3763.92139668876</v>
      </c>
      <c r="K41" s="7">
        <v>3888.03608408104</v>
      </c>
      <c r="L41" s="7">
        <v>3649.02193404689</v>
      </c>
      <c r="M41" s="7">
        <v>3701.98903131336</v>
      </c>
      <c r="N41" s="7">
        <v>4060.15877507829</v>
      </c>
      <c r="O41" s="7">
        <v>4012.24186192784</v>
      </c>
      <c r="P41" s="7">
        <v>3754.56050787868</v>
      </c>
      <c r="Q41" s="7">
        <v>4183.94207721082</v>
      </c>
      <c r="R41" s="7">
        <v>3622.64471197003</v>
      </c>
      <c r="S41" s="7">
        <v>3872.60183496523</v>
      </c>
      <c r="T41" s="7">
        <v>2796.39749486928</v>
      </c>
      <c r="U41" s="7">
        <v>5084.36311006821</v>
      </c>
      <c r="V41" s="7">
        <v>3718.28116927556</v>
      </c>
      <c r="W41" s="7">
        <v>3941.7045435318</v>
      </c>
      <c r="X41" s="7">
        <v>4321.73101426277</v>
      </c>
      <c r="Y41" s="7">
        <v>3663.64237640275</v>
      </c>
      <c r="Z41" s="7">
        <v>4333.81944785876</v>
      </c>
      <c r="AA41" s="15">
        <f>SUMPRODUCT(C41:Z41,Q_monthly_by_region!B41:Y41)/SUM(Q_monthly_by_region!B41:Y41)</f>
        <v>3842.4315274344317</v>
      </c>
      <c r="AC41" s="18" t="s">
        <v>143</v>
      </c>
      <c r="AD41" s="156">
        <v>2.158543096E-06</v>
      </c>
      <c r="AE41" s="157">
        <v>0.003231169264964</v>
      </c>
      <c r="AF41" s="157">
        <v>1</v>
      </c>
      <c r="AG41" s="157">
        <v>1.99784E-10</v>
      </c>
      <c r="AH41" s="157">
        <v>0.102727246261468</v>
      </c>
      <c r="AI41" s="157">
        <v>0.553442264637195</v>
      </c>
      <c r="AJ41" s="157">
        <v>0.206985061003605</v>
      </c>
      <c r="AK41" s="158">
        <v>0.082463829698932</v>
      </c>
      <c r="AL41" s="12"/>
      <c r="AM41" s="12"/>
      <c r="AN41" s="12"/>
      <c r="AO41" s="12"/>
      <c r="AP41" s="12"/>
      <c r="AQ41" s="12"/>
      <c r="AR41" s="12"/>
      <c r="AS41" s="12"/>
      <c r="AT41" s="12"/>
      <c r="AU41" s="12"/>
      <c r="AV41" s="12"/>
      <c r="AW41" s="12"/>
      <c r="AX41" s="12"/>
      <c r="AY41" s="12"/>
      <c r="AZ41" s="12"/>
      <c r="BA41" s="12"/>
      <c r="BB41" s="10"/>
      <c r="BC41" s="10"/>
      <c r="BD41" s="10"/>
    </row>
    <row r="42" spans="1:56" ht="12.75">
      <c r="A42" t="s">
        <v>613</v>
      </c>
      <c r="B42" t="s">
        <v>253</v>
      </c>
      <c r="C42" s="7">
        <v>108.260177293541</v>
      </c>
      <c r="D42" s="7">
        <v>29.4465296403593</v>
      </c>
      <c r="E42" s="7">
        <v>59.2496068536436</v>
      </c>
      <c r="F42" s="7">
        <v>26.2067949632857</v>
      </c>
      <c r="G42" s="7">
        <v>55.328523354016</v>
      </c>
      <c r="H42" s="7">
        <v>39.9137831850303</v>
      </c>
      <c r="I42" s="7">
        <v>61.847573369003</v>
      </c>
      <c r="J42" s="7">
        <v>31.7278829629962</v>
      </c>
      <c r="K42" s="7">
        <v>23.9899425267236</v>
      </c>
      <c r="L42" s="7">
        <v>13.5958333333333</v>
      </c>
      <c r="M42" s="7">
        <v>32.5853985554076</v>
      </c>
      <c r="N42" s="7">
        <v>20.4044089891241</v>
      </c>
      <c r="O42" s="7">
        <v>38.3837792317017</v>
      </c>
      <c r="P42" s="7">
        <v>50.8832640504652</v>
      </c>
      <c r="Q42" s="7">
        <v>54.9486631745368</v>
      </c>
      <c r="R42" s="7">
        <v>79.48155</v>
      </c>
      <c r="S42" s="7">
        <v>29.2606416666666</v>
      </c>
      <c r="T42" s="7">
        <v>19.322</v>
      </c>
      <c r="U42" s="7">
        <v>14.5448</v>
      </c>
      <c r="V42" s="7">
        <v>2.23985157858044</v>
      </c>
      <c r="W42" s="7">
        <v>24.82260824525</v>
      </c>
      <c r="X42" s="7">
        <v>43.6599138940825</v>
      </c>
      <c r="Y42" s="7">
        <v>2.4558055292135</v>
      </c>
      <c r="Z42" s="7">
        <v>5.9974949000604</v>
      </c>
      <c r="AA42" s="15">
        <f>SUMPRODUCT(C42:Z42,Q_monthly_by_region!B42:Y42)/SUM(Q_monthly_by_region!B42:Y42)</f>
        <v>36.335326010999516</v>
      </c>
      <c r="AC42" s="18" t="s">
        <v>144</v>
      </c>
      <c r="AD42" s="156">
        <v>4.9930203972E-05</v>
      </c>
      <c r="AE42" s="157">
        <v>0.29106605856043</v>
      </c>
      <c r="AF42" s="157">
        <v>1.99784E-10</v>
      </c>
      <c r="AG42" s="157">
        <v>1</v>
      </c>
      <c r="AH42" s="157">
        <v>0.084893612653796</v>
      </c>
      <c r="AI42" s="157">
        <v>0.58925445250027</v>
      </c>
      <c r="AJ42" s="157">
        <v>0.123650400049682</v>
      </c>
      <c r="AK42" s="158">
        <v>0.142087944135246</v>
      </c>
      <c r="AL42" s="12"/>
      <c r="AM42" s="12"/>
      <c r="AN42" s="12"/>
      <c r="AO42" s="12"/>
      <c r="AP42" s="12"/>
      <c r="AQ42" s="12"/>
      <c r="AR42" s="12"/>
      <c r="AS42" s="12"/>
      <c r="AT42" s="12"/>
      <c r="AU42" s="12"/>
      <c r="AV42" s="12"/>
      <c r="AW42" s="12"/>
      <c r="AX42" s="12"/>
      <c r="AY42" s="12"/>
      <c r="AZ42" s="12"/>
      <c r="BA42" s="12"/>
      <c r="BB42" s="10"/>
      <c r="BC42" s="10"/>
      <c r="BD42" s="10"/>
    </row>
    <row r="43" spans="1:56" ht="12.75">
      <c r="A43" t="s">
        <v>613</v>
      </c>
      <c r="B43" t="s">
        <v>149</v>
      </c>
      <c r="C43" s="7">
        <v>13.6972968640736</v>
      </c>
      <c r="D43" s="7">
        <v>7.16398075705517</v>
      </c>
      <c r="E43" s="7">
        <v>44.0985549654326</v>
      </c>
      <c r="F43" s="7">
        <v>10.4256385099872</v>
      </c>
      <c r="G43" s="7">
        <v>32.388215423362</v>
      </c>
      <c r="H43" s="7">
        <v>442.00236532782</v>
      </c>
      <c r="I43" s="7">
        <v>34.8706030337868</v>
      </c>
      <c r="J43" s="7">
        <v>83.2192927696585</v>
      </c>
      <c r="K43" s="7">
        <v>28.73439832393</v>
      </c>
      <c r="L43" s="7">
        <v>10.82625</v>
      </c>
      <c r="M43" s="7">
        <v>31.1423030756851</v>
      </c>
      <c r="N43" s="7">
        <v>115.474179403082</v>
      </c>
      <c r="O43" s="7">
        <v>39.01295827</v>
      </c>
      <c r="P43" s="7">
        <v>25.1768422883871</v>
      </c>
      <c r="Q43" s="7">
        <v>17.956302984</v>
      </c>
      <c r="R43" s="7">
        <v>16.2273022258064</v>
      </c>
      <c r="S43" s="7">
        <v>29.4687291666666</v>
      </c>
      <c r="T43" s="7">
        <v>128.633</v>
      </c>
      <c r="U43" s="7">
        <v>16.6706</v>
      </c>
      <c r="V43" s="7">
        <v>82.1224</v>
      </c>
      <c r="W43" s="7">
        <v>23.8387499999999</v>
      </c>
      <c r="X43" s="7">
        <v>14.326104082648</v>
      </c>
      <c r="Y43" s="7">
        <v>284.873441388766</v>
      </c>
      <c r="Z43" s="7">
        <v>16.027788094989</v>
      </c>
      <c r="AA43" s="15">
        <f>SUMPRODUCT(C43:Z43,Q_monthly_by_region!B43:Y43)/SUM(Q_monthly_by_region!B43:Y43)</f>
        <v>80.54899660616063</v>
      </c>
      <c r="AC43" s="18" t="s">
        <v>145</v>
      </c>
      <c r="AD43" s="156">
        <v>0.43005964757622</v>
      </c>
      <c r="AE43" s="157">
        <v>0.703714832302961</v>
      </c>
      <c r="AF43" s="157">
        <v>0.102727246261468</v>
      </c>
      <c r="AG43" s="157">
        <v>0.084893612653796</v>
      </c>
      <c r="AH43" s="157">
        <v>1</v>
      </c>
      <c r="AI43" s="157">
        <v>0.84094997678933</v>
      </c>
      <c r="AJ43" s="157">
        <v>0.801774292107658</v>
      </c>
      <c r="AK43" s="158">
        <v>0.284597268215944</v>
      </c>
      <c r="AL43" s="12"/>
      <c r="AM43" s="12"/>
      <c r="AN43" s="12"/>
      <c r="AO43" s="12"/>
      <c r="AP43" s="12"/>
      <c r="AQ43" s="12"/>
      <c r="AR43" s="12"/>
      <c r="AS43" s="12"/>
      <c r="AT43" s="12"/>
      <c r="AU43" s="12"/>
      <c r="AV43" s="12"/>
      <c r="AW43" s="12"/>
      <c r="AX43" s="12"/>
      <c r="AY43" s="12"/>
      <c r="AZ43" s="12"/>
      <c r="BA43" s="12"/>
      <c r="BB43" s="10"/>
      <c r="BC43" s="10"/>
      <c r="BD43" s="10"/>
    </row>
    <row r="44" spans="1:53" ht="12.75">
      <c r="A44" t="s">
        <v>613</v>
      </c>
      <c r="B44" t="s">
        <v>254</v>
      </c>
      <c r="C44" s="7">
        <v>40.0950198477137</v>
      </c>
      <c r="D44" s="7">
        <v>19.3820816374846</v>
      </c>
      <c r="E44" s="7">
        <v>33.7073356766983</v>
      </c>
      <c r="F44" s="7">
        <v>25.5752138732066</v>
      </c>
      <c r="G44" s="7">
        <v>34.2230825043966</v>
      </c>
      <c r="H44" s="7">
        <v>40.6593406086158</v>
      </c>
      <c r="I44" s="7">
        <v>49.1158446742521</v>
      </c>
      <c r="J44" s="7">
        <v>45.5115575263449</v>
      </c>
      <c r="K44" s="7">
        <v>91.7647377306445</v>
      </c>
      <c r="L44" s="7">
        <v>34.3671252827446</v>
      </c>
      <c r="M44" s="7">
        <v>36.4946578175485</v>
      </c>
      <c r="N44" s="7">
        <v>71.8996600165553</v>
      </c>
      <c r="O44" s="7">
        <v>47.0277788826372</v>
      </c>
      <c r="P44" s="7">
        <v>36.8335953947784</v>
      </c>
      <c r="Q44" s="7">
        <v>36.8672024525108</v>
      </c>
      <c r="R44" s="7">
        <v>26.5773605605938</v>
      </c>
      <c r="S44" s="7">
        <v>65.3570232061096</v>
      </c>
      <c r="T44" s="7">
        <v>79.5538735277104</v>
      </c>
      <c r="U44" s="7">
        <v>46.2402374413994</v>
      </c>
      <c r="V44" s="7">
        <v>81.2770575000446</v>
      </c>
      <c r="W44" s="7">
        <v>49.9199678813412</v>
      </c>
      <c r="X44" s="7">
        <v>20.7455042036985</v>
      </c>
      <c r="Y44" s="7">
        <v>34.8124449800861</v>
      </c>
      <c r="Z44" s="7">
        <v>8.80564611725703</v>
      </c>
      <c r="AA44" s="15">
        <f>SUMPRODUCT(C44:Z44,Q_monthly_by_region!B44:Y44)/SUM(Q_monthly_by_region!B44:Y44)</f>
        <v>36.72597011498552</v>
      </c>
      <c r="AC44" s="18" t="s">
        <v>146</v>
      </c>
      <c r="AD44" s="156">
        <v>0.09221301282392</v>
      </c>
      <c r="AE44" s="157">
        <v>0.920500993389022</v>
      </c>
      <c r="AF44" s="157">
        <v>0.553442264637195</v>
      </c>
      <c r="AG44" s="157">
        <v>0.58925445250027</v>
      </c>
      <c r="AH44" s="157">
        <v>0.84094997678933</v>
      </c>
      <c r="AI44" s="157">
        <v>1</v>
      </c>
      <c r="AJ44" s="157">
        <v>0.096278868066636</v>
      </c>
      <c r="AK44" s="158">
        <v>0.887414602106431</v>
      </c>
      <c r="AL44" s="13"/>
      <c r="AM44" s="13"/>
      <c r="AN44" s="13"/>
      <c r="AO44" s="13"/>
      <c r="AP44" s="13"/>
      <c r="AQ44" s="13"/>
      <c r="AR44" s="13"/>
      <c r="AS44" s="13"/>
      <c r="AT44" s="13"/>
      <c r="AU44" s="13"/>
      <c r="AV44" s="13"/>
      <c r="AW44" s="13"/>
      <c r="AX44" s="13"/>
      <c r="AY44" s="13"/>
      <c r="AZ44" s="13"/>
      <c r="BA44" s="13"/>
    </row>
    <row r="45" spans="1:53" ht="12.75">
      <c r="A45" t="s">
        <v>613</v>
      </c>
      <c r="B45" t="s">
        <v>255</v>
      </c>
      <c r="C45" s="7">
        <v>53.6343958961508</v>
      </c>
      <c r="D45" s="7">
        <v>17.67930146017</v>
      </c>
      <c r="E45" s="7">
        <v>34.6970311361792</v>
      </c>
      <c r="F45" s="7">
        <v>38.5645612264618</v>
      </c>
      <c r="G45" s="7">
        <v>38.4833216241757</v>
      </c>
      <c r="H45" s="7">
        <v>17.6789284223467</v>
      </c>
      <c r="I45" s="7">
        <v>43.3105722780484</v>
      </c>
      <c r="J45" s="7">
        <v>28.6055418709182</v>
      </c>
      <c r="K45" s="7">
        <v>83.8594884877764</v>
      </c>
      <c r="L45" s="7">
        <v>42.7924340465782</v>
      </c>
      <c r="M45" s="7">
        <v>32.473838056631</v>
      </c>
      <c r="N45" s="7">
        <v>111.454397984216</v>
      </c>
      <c r="O45" s="7">
        <v>54.4815839256249</v>
      </c>
      <c r="P45" s="7">
        <v>33.842710563629</v>
      </c>
      <c r="Q45" s="7">
        <v>34.0475165470808</v>
      </c>
      <c r="R45" s="7">
        <v>23.9598432733871</v>
      </c>
      <c r="S45" s="7">
        <v>46.0777218749999</v>
      </c>
      <c r="T45" s="7">
        <v>190.331181774999</v>
      </c>
      <c r="U45" s="7">
        <v>51.7113892857142</v>
      </c>
      <c r="V45" s="7">
        <v>185.649960909512</v>
      </c>
      <c r="W45" s="7">
        <v>35.4095743648222</v>
      </c>
      <c r="X45" s="7">
        <v>17.9903153935185</v>
      </c>
      <c r="Y45" s="7">
        <v>23.1091300298991</v>
      </c>
      <c r="Z45" s="7">
        <v>10.560244252908</v>
      </c>
      <c r="AA45" s="15">
        <f>SUMPRODUCT(C45:Z45,Q_monthly_by_region!B45:Y45)/SUM(Q_monthly_by_region!B45:Y45)</f>
        <v>43.090673329868444</v>
      </c>
      <c r="AC45" s="18" t="s">
        <v>147</v>
      </c>
      <c r="AD45" s="156">
        <v>0.770165144396832</v>
      </c>
      <c r="AE45" s="157">
        <v>0.79526252356315</v>
      </c>
      <c r="AF45" s="157">
        <v>0.206985061003605</v>
      </c>
      <c r="AG45" s="157">
        <v>0.123650400049682</v>
      </c>
      <c r="AH45" s="157">
        <v>0.801774292107658</v>
      </c>
      <c r="AI45" s="157">
        <v>0.096278868066636</v>
      </c>
      <c r="AJ45" s="157">
        <v>1</v>
      </c>
      <c r="AK45" s="158">
        <v>0.00869989699673</v>
      </c>
      <c r="AL45" s="13"/>
      <c r="AM45" s="13"/>
      <c r="AN45" s="13"/>
      <c r="AO45" s="13"/>
      <c r="AP45" s="13"/>
      <c r="AQ45" s="13"/>
      <c r="AR45" s="13"/>
      <c r="AS45" s="13"/>
      <c r="AT45" s="13"/>
      <c r="AU45" s="13"/>
      <c r="AV45" s="13"/>
      <c r="AW45" s="13"/>
      <c r="AX45" s="13"/>
      <c r="AY45" s="13"/>
      <c r="AZ45" s="13"/>
      <c r="BA45" s="13"/>
    </row>
    <row r="46" spans="1:53" ht="13.5" thickBot="1">
      <c r="A46" t="s">
        <v>613</v>
      </c>
      <c r="B46" t="s">
        <v>256</v>
      </c>
      <c r="C46" s="7">
        <v>18.4225756793458</v>
      </c>
      <c r="D46" s="7">
        <v>7.80265675828477</v>
      </c>
      <c r="E46" s="7">
        <v>18.3148285354113</v>
      </c>
      <c r="F46" s="7">
        <v>29.191549987405</v>
      </c>
      <c r="G46" s="7">
        <v>20.6956559205378</v>
      </c>
      <c r="H46" s="7">
        <v>18.6787694164729</v>
      </c>
      <c r="I46" s="7">
        <v>22.1774993001669</v>
      </c>
      <c r="J46" s="7">
        <v>19.0251943982136</v>
      </c>
      <c r="K46" s="7">
        <v>26.4302583715074</v>
      </c>
      <c r="L46" s="7">
        <v>21.3524901255995</v>
      </c>
      <c r="M46" s="7">
        <v>16.9121791758004</v>
      </c>
      <c r="N46" s="7">
        <v>31.1250369131657</v>
      </c>
      <c r="O46" s="7">
        <v>18.034602656536</v>
      </c>
      <c r="P46" s="7">
        <v>11.5011324344471</v>
      </c>
      <c r="Q46" s="7">
        <v>30.6223370368461</v>
      </c>
      <c r="R46" s="7">
        <v>15.1734781344142</v>
      </c>
      <c r="S46" s="7">
        <v>107.159581630823</v>
      </c>
      <c r="T46" s="7">
        <v>21.6598162258718</v>
      </c>
      <c r="U46" s="7">
        <v>45.6236158205388</v>
      </c>
      <c r="V46" s="7">
        <v>51.3432167414849</v>
      </c>
      <c r="W46" s="7">
        <v>29.1297408933565</v>
      </c>
      <c r="X46" s="7">
        <v>17.3623388778802</v>
      </c>
      <c r="Y46" s="7">
        <v>111.516173428417</v>
      </c>
      <c r="Z46" s="7">
        <v>11.7067622896716</v>
      </c>
      <c r="AA46" s="15">
        <f>SUMPRODUCT(C46:Z46,Q_monthly_by_region!B46:Y46)/SUM(Q_monthly_by_region!B46:Y46)</f>
        <v>33.933261534922416</v>
      </c>
      <c r="AC46" s="18" t="s">
        <v>148</v>
      </c>
      <c r="AD46" s="159">
        <v>0.897865597256505</v>
      </c>
      <c r="AE46" s="160">
        <v>0.372789876340366</v>
      </c>
      <c r="AF46" s="160">
        <v>0.082463829698932</v>
      </c>
      <c r="AG46" s="160">
        <v>0.142087944135246</v>
      </c>
      <c r="AH46" s="160">
        <v>0.284597268215944</v>
      </c>
      <c r="AI46" s="160">
        <v>0.887414602106431</v>
      </c>
      <c r="AJ46" s="160">
        <v>0.00869989699673</v>
      </c>
      <c r="AK46" s="161">
        <v>1</v>
      </c>
      <c r="AL46" s="13"/>
      <c r="AM46" s="13"/>
      <c r="AN46" s="13"/>
      <c r="AO46" s="13"/>
      <c r="AP46" s="13"/>
      <c r="AQ46" s="13"/>
      <c r="AR46" s="13"/>
      <c r="AS46" s="13"/>
      <c r="AT46" s="13"/>
      <c r="AU46" s="13"/>
      <c r="AV46" s="13"/>
      <c r="AW46" s="13"/>
      <c r="AX46" s="13"/>
      <c r="AY46" s="13"/>
      <c r="AZ46" s="13"/>
      <c r="BA46" s="13"/>
    </row>
    <row r="47" spans="1:53" ht="13.5" thickTop="1">
      <c r="A47" t="s">
        <v>789</v>
      </c>
      <c r="B47" t="s">
        <v>253</v>
      </c>
      <c r="C47" s="7">
        <v>1462.94209662777</v>
      </c>
      <c r="D47" s="7">
        <v>644.657556861186</v>
      </c>
      <c r="E47" s="7">
        <v>584.487970689216</v>
      </c>
      <c r="F47" s="7">
        <v>417.565213837332</v>
      </c>
      <c r="G47" s="7">
        <v>392.73689736021</v>
      </c>
      <c r="H47" s="7">
        <v>421.158668289801</v>
      </c>
      <c r="I47" s="7">
        <v>1342.70799528969</v>
      </c>
      <c r="J47" s="7">
        <v>235.109657937528</v>
      </c>
      <c r="K47" s="7">
        <v>255.786318202273</v>
      </c>
      <c r="L47" s="7">
        <v>136.26794865</v>
      </c>
      <c r="M47" s="7">
        <v>229.187765417199</v>
      </c>
      <c r="N47" s="7">
        <v>242.735265126177</v>
      </c>
      <c r="O47" s="7">
        <v>402.074765511823</v>
      </c>
      <c r="P47" s="7">
        <v>411.555936018278</v>
      </c>
      <c r="Q47" s="7">
        <v>562.51492079641</v>
      </c>
      <c r="R47" s="7">
        <v>824.118509032257</v>
      </c>
      <c r="S47" s="7">
        <v>233.336798499999</v>
      </c>
      <c r="T47" s="7">
        <v>179.214045</v>
      </c>
      <c r="U47" s="7">
        <v>97.10546875</v>
      </c>
      <c r="V47" s="7">
        <v>73.4993293709607</v>
      </c>
      <c r="W47" s="7">
        <v>222.279725624999</v>
      </c>
      <c r="X47" s="7">
        <v>85.6476715295397</v>
      </c>
      <c r="Y47" s="7">
        <v>28.7765132683451</v>
      </c>
      <c r="Z47" s="7">
        <v>80.2071117095673</v>
      </c>
      <c r="AA47" s="15">
        <f>SUMPRODUCT(C47:Z47,Q_monthly_by_region!B47:Y47)/SUM(Q_monthly_by_region!B47:Y47)</f>
        <v>396.19944488224746</v>
      </c>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1:53" ht="12.75">
      <c r="A48" t="s">
        <v>789</v>
      </c>
      <c r="B48" t="s">
        <v>149</v>
      </c>
      <c r="C48" s="7">
        <v>226.136284957972</v>
      </c>
      <c r="D48" s="7">
        <v>136.262945418423</v>
      </c>
      <c r="E48" s="7">
        <v>299.983890329456</v>
      </c>
      <c r="F48" s="7">
        <v>165.918051349903</v>
      </c>
      <c r="G48" s="7">
        <v>238.712924584781</v>
      </c>
      <c r="H48" s="7">
        <v>4663.88081278709</v>
      </c>
      <c r="I48" s="7">
        <v>530.106441386033</v>
      </c>
      <c r="J48" s="7">
        <v>800.638677119149</v>
      </c>
      <c r="K48" s="7">
        <v>191.012498026989</v>
      </c>
      <c r="L48" s="7">
        <v>131.76727395</v>
      </c>
      <c r="M48" s="7">
        <v>328.951770918272</v>
      </c>
      <c r="N48" s="7">
        <v>1373.70582836166</v>
      </c>
      <c r="O48" s="7">
        <v>215.055382525</v>
      </c>
      <c r="P48" s="7">
        <v>208.635694264516</v>
      </c>
      <c r="Q48" s="7">
        <v>296.389069866666</v>
      </c>
      <c r="R48" s="7">
        <v>201.775103951612</v>
      </c>
      <c r="S48" s="7">
        <v>257.386304</v>
      </c>
      <c r="T48" s="7">
        <v>767.202059999999</v>
      </c>
      <c r="U48" s="7">
        <v>123.416089999999</v>
      </c>
      <c r="V48" s="7">
        <v>723.714</v>
      </c>
      <c r="W48" s="7">
        <v>171.86107648775</v>
      </c>
      <c r="X48" s="7">
        <v>173.417574750481</v>
      </c>
      <c r="Y48" s="7">
        <v>3338.07553912803</v>
      </c>
      <c r="Z48" s="7">
        <v>214.346591637636</v>
      </c>
      <c r="AA48" s="15">
        <f>SUMPRODUCT(C48:Z48,Q_monthly_by_region!B48:Y48)/SUM(Q_monthly_by_region!B48:Y48)</f>
        <v>870.8039028566676</v>
      </c>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row>
    <row r="49" spans="1:53" ht="12.75">
      <c r="A49" t="s">
        <v>789</v>
      </c>
      <c r="B49" t="s">
        <v>254</v>
      </c>
      <c r="C49" s="7">
        <v>324.820815920725</v>
      </c>
      <c r="D49" s="7">
        <v>236.284967357836</v>
      </c>
      <c r="E49" s="7">
        <v>284.011659746218</v>
      </c>
      <c r="F49" s="7">
        <v>333.003296528361</v>
      </c>
      <c r="G49" s="7">
        <v>295.501745103499</v>
      </c>
      <c r="H49" s="7">
        <v>449.631735761127</v>
      </c>
      <c r="I49" s="7">
        <v>524.822668041613</v>
      </c>
      <c r="J49" s="7">
        <v>515.596828503391</v>
      </c>
      <c r="K49" s="7">
        <v>537.219027155596</v>
      </c>
      <c r="L49" s="7">
        <v>313.823447869921</v>
      </c>
      <c r="M49" s="7">
        <v>337.858113216807</v>
      </c>
      <c r="N49" s="7">
        <v>659.162988140692</v>
      </c>
      <c r="O49" s="7">
        <v>383.52309487207</v>
      </c>
      <c r="P49" s="7">
        <v>291.183158412978</v>
      </c>
      <c r="Q49" s="7">
        <v>452.995252263312</v>
      </c>
      <c r="R49" s="7">
        <v>270.218129409345</v>
      </c>
      <c r="S49" s="7">
        <v>577.571031080562</v>
      </c>
      <c r="T49" s="7">
        <v>962.310599976819</v>
      </c>
      <c r="U49" s="7">
        <v>449.569036864151</v>
      </c>
      <c r="V49" s="7">
        <v>743.42780575859</v>
      </c>
      <c r="W49" s="7">
        <v>427.920583709963</v>
      </c>
      <c r="X49" s="7">
        <v>255.423282345406</v>
      </c>
      <c r="Y49" s="7">
        <v>407.9234992169</v>
      </c>
      <c r="Z49" s="7">
        <v>117.761741122054</v>
      </c>
      <c r="AA49" s="15">
        <f>SUMPRODUCT(C49:Z49,Q_monthly_by_region!B49:Y49)/SUM(Q_monthly_by_region!B49:Y49)</f>
        <v>354.67568522178834</v>
      </c>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row>
    <row r="50" spans="1:53" ht="12.75">
      <c r="A50" t="s">
        <v>789</v>
      </c>
      <c r="B50" t="s">
        <v>255</v>
      </c>
      <c r="C50" s="7">
        <v>385.956250682011</v>
      </c>
      <c r="D50" s="7">
        <v>204.902902421965</v>
      </c>
      <c r="E50" s="7">
        <v>281.456443588918</v>
      </c>
      <c r="F50" s="7">
        <v>407.037039467459</v>
      </c>
      <c r="G50" s="7">
        <v>314.667903228491</v>
      </c>
      <c r="H50" s="7">
        <v>174.40999640885</v>
      </c>
      <c r="I50" s="7">
        <v>400.553430705611</v>
      </c>
      <c r="J50" s="7">
        <v>321.090890510375</v>
      </c>
      <c r="K50" s="7">
        <v>431.695276280158</v>
      </c>
      <c r="L50" s="7">
        <v>335.501223188496</v>
      </c>
      <c r="M50" s="7">
        <v>313.924629361385</v>
      </c>
      <c r="N50" s="7">
        <v>879.749373023882</v>
      </c>
      <c r="O50" s="7">
        <v>444.31088468125</v>
      </c>
      <c r="P50" s="7">
        <v>264.075042577688</v>
      </c>
      <c r="Q50" s="7">
        <v>468.522626679879</v>
      </c>
      <c r="R50" s="7">
        <v>221.943269455645</v>
      </c>
      <c r="S50" s="7">
        <v>433.418145396666</v>
      </c>
      <c r="T50" s="7">
        <v>2419.41737499999</v>
      </c>
      <c r="U50" s="7">
        <v>482.739486607142</v>
      </c>
      <c r="V50" s="7">
        <v>1746.52810863667</v>
      </c>
      <c r="W50" s="7">
        <v>276.355711809719</v>
      </c>
      <c r="X50" s="7">
        <v>195.130145524768</v>
      </c>
      <c r="Y50" s="7">
        <v>270.786989855127</v>
      </c>
      <c r="Z50" s="7">
        <v>141.226746264475</v>
      </c>
      <c r="AA50" s="15">
        <f>SUMPRODUCT(C50:Z50,Q_monthly_by_region!B50:Y50)/SUM(Q_monthly_by_region!B50:Y50)</f>
        <v>387.95300990616187</v>
      </c>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row>
    <row r="51" spans="1:53" ht="12.75">
      <c r="A51" t="s">
        <v>789</v>
      </c>
      <c r="B51" t="s">
        <v>256</v>
      </c>
      <c r="C51" s="7">
        <v>201.520525000092</v>
      </c>
      <c r="D51" s="7">
        <v>96.5403852351695</v>
      </c>
      <c r="E51" s="7">
        <v>121.122616092057</v>
      </c>
      <c r="F51" s="7">
        <v>187.371294371671</v>
      </c>
      <c r="G51" s="7">
        <v>141.770088988767</v>
      </c>
      <c r="H51" s="7">
        <v>200.240951122351</v>
      </c>
      <c r="I51" s="7">
        <v>281.041403077011</v>
      </c>
      <c r="J51" s="7">
        <v>269.020949034348</v>
      </c>
      <c r="K51" s="7">
        <v>273.62373286967</v>
      </c>
      <c r="L51" s="7">
        <v>178.946083699719</v>
      </c>
      <c r="M51" s="7">
        <v>221.275479240572</v>
      </c>
      <c r="N51" s="7">
        <v>294.316704778639</v>
      </c>
      <c r="O51" s="7">
        <v>157.711626509197</v>
      </c>
      <c r="P51" s="7">
        <v>111.272665065993</v>
      </c>
      <c r="Q51" s="7">
        <v>284.38517379303</v>
      </c>
      <c r="R51" s="7">
        <v>160.972089662627</v>
      </c>
      <c r="S51" s="7">
        <v>468.691932538852</v>
      </c>
      <c r="T51" s="7">
        <v>227.566211425776</v>
      </c>
      <c r="U51" s="7">
        <v>406.475218874215</v>
      </c>
      <c r="V51" s="7">
        <v>467.158737692856</v>
      </c>
      <c r="W51" s="7">
        <v>229.78695563521</v>
      </c>
      <c r="X51" s="7">
        <v>289.16759646911</v>
      </c>
      <c r="Y51" s="7">
        <v>1306.71855166221</v>
      </c>
      <c r="Z51" s="7">
        <v>156.55963137469</v>
      </c>
      <c r="AA51" s="15">
        <f>SUMPRODUCT(C51:Z51,Q_monthly_by_region!B51:Y51)/SUM(Q_monthly_by_region!B51:Y51)</f>
        <v>310.23332257099463</v>
      </c>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row>
    <row r="52" spans="1:53" ht="12.75">
      <c r="A52" t="s">
        <v>790</v>
      </c>
      <c r="B52" t="s">
        <v>253</v>
      </c>
      <c r="C52" s="7">
        <v>156.024764073256</v>
      </c>
      <c r="D52" s="7">
        <v>104.264365367367</v>
      </c>
      <c r="E52" s="7">
        <v>138.52959913254</v>
      </c>
      <c r="F52" s="7">
        <v>119.368413449394</v>
      </c>
      <c r="G52" s="7">
        <v>130.822032285724</v>
      </c>
      <c r="H52" s="7">
        <v>83.3211326796929</v>
      </c>
      <c r="I52" s="7">
        <v>111.086320746126</v>
      </c>
      <c r="J52" s="7">
        <v>69.587982077473</v>
      </c>
      <c r="K52" s="7">
        <v>93.5956360662719</v>
      </c>
      <c r="L52" s="7">
        <v>89.335738462205</v>
      </c>
      <c r="M52" s="7">
        <v>136.969498297098</v>
      </c>
      <c r="N52" s="7">
        <v>104.082894442282</v>
      </c>
      <c r="O52" s="7">
        <v>122.431933330249</v>
      </c>
      <c r="P52" s="7">
        <v>118.368676854806</v>
      </c>
      <c r="Q52" s="7">
        <v>131.809955261924</v>
      </c>
      <c r="R52" s="7">
        <v>172.665265856642</v>
      </c>
      <c r="S52" s="7">
        <v>89.0723849500236</v>
      </c>
      <c r="T52" s="7">
        <v>57.6331916928788</v>
      </c>
      <c r="U52" s="7">
        <v>62.1952006875384</v>
      </c>
      <c r="V52" s="7">
        <v>37.9427037791102</v>
      </c>
      <c r="W52" s="7">
        <v>61.1182330026347</v>
      </c>
      <c r="X52" s="7">
        <v>76.8300835524686</v>
      </c>
      <c r="Y52" s="7">
        <v>55.3218820725187</v>
      </c>
      <c r="Z52" s="7">
        <v>69.1985370203367</v>
      </c>
      <c r="AA52" s="15">
        <f>SUMPRODUCT(C52:Z52,Q_monthly_by_region!B52:Y52)/SUM(Q_monthly_by_region!B52:Y52)</f>
        <v>108.14375298672434</v>
      </c>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row>
    <row r="53" spans="1:53" ht="12.75">
      <c r="A53" t="s">
        <v>790</v>
      </c>
      <c r="B53" t="s">
        <v>149</v>
      </c>
      <c r="C53" s="7">
        <v>124.666750603548</v>
      </c>
      <c r="D53" s="7">
        <v>82.8897596575701</v>
      </c>
      <c r="E53" s="7">
        <v>162.713486214474</v>
      </c>
      <c r="F53" s="7">
        <v>104.727177190395</v>
      </c>
      <c r="G53" s="7">
        <v>123.092366513304</v>
      </c>
      <c r="H53" s="7">
        <v>537.904522330709</v>
      </c>
      <c r="I53" s="7">
        <v>127.269416651142</v>
      </c>
      <c r="J53" s="7">
        <v>168.259567871791</v>
      </c>
      <c r="K53" s="7">
        <v>103.268671550442</v>
      </c>
      <c r="L53" s="7">
        <v>98.9971458604521</v>
      </c>
      <c r="M53" s="7">
        <v>180.241300139309</v>
      </c>
      <c r="N53" s="7">
        <v>289.759876277577</v>
      </c>
      <c r="O53" s="7">
        <v>134.163989352557</v>
      </c>
      <c r="P53" s="7">
        <v>115.779376170803</v>
      </c>
      <c r="Q53" s="7">
        <v>179.210992744447</v>
      </c>
      <c r="R53" s="7">
        <v>64.2492152097733</v>
      </c>
      <c r="S53" s="7">
        <v>99.0171606780728</v>
      </c>
      <c r="T53" s="7">
        <v>195.506044510823</v>
      </c>
      <c r="U53" s="7">
        <v>106.088806726473</v>
      </c>
      <c r="V53" s="7">
        <v>161.949905247456</v>
      </c>
      <c r="W53" s="7">
        <v>83.8658512152859</v>
      </c>
      <c r="X53" s="7">
        <v>69.889570025572</v>
      </c>
      <c r="Y53" s="7">
        <v>370.27051762214</v>
      </c>
      <c r="Z53" s="7">
        <v>121.543650666391</v>
      </c>
      <c r="AA53" s="15">
        <f>SUMPRODUCT(C53:Z53,Q_monthly_by_region!B53:Y53)/SUM(Q_monthly_by_region!B53:Y53)</f>
        <v>186.1109503767062</v>
      </c>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row>
    <row r="54" spans="1:53" ht="12.75">
      <c r="A54" t="s">
        <v>790</v>
      </c>
      <c r="B54" t="s">
        <v>254</v>
      </c>
      <c r="C54" s="7">
        <v>315.596303265525</v>
      </c>
      <c r="D54" s="7">
        <v>217.089921152342</v>
      </c>
      <c r="E54" s="7">
        <v>298.753096172444</v>
      </c>
      <c r="F54" s="7">
        <v>242.369433342113</v>
      </c>
      <c r="G54" s="7">
        <v>214.696182910356</v>
      </c>
      <c r="H54" s="7">
        <v>262.550703629469</v>
      </c>
      <c r="I54" s="7">
        <v>239.11059608244</v>
      </c>
      <c r="J54" s="7">
        <v>230.013142188019</v>
      </c>
      <c r="K54" s="7">
        <v>259.995861560504</v>
      </c>
      <c r="L54" s="7">
        <v>246.776023852839</v>
      </c>
      <c r="M54" s="7">
        <v>416.070487432408</v>
      </c>
      <c r="N54" s="7">
        <v>641.224865078677</v>
      </c>
      <c r="O54" s="7">
        <v>321.288797469141</v>
      </c>
      <c r="P54" s="7">
        <v>287.075575378401</v>
      </c>
      <c r="Q54" s="7">
        <v>274.787947567797</v>
      </c>
      <c r="R54" s="7">
        <v>204.261827937534</v>
      </c>
      <c r="S54" s="7">
        <v>284.996712862893</v>
      </c>
      <c r="T54" s="7">
        <v>250.208741767549</v>
      </c>
      <c r="U54" s="7">
        <v>245.907963102085</v>
      </c>
      <c r="V54" s="7">
        <v>256.71231555284</v>
      </c>
      <c r="W54" s="7">
        <v>237.631942286244</v>
      </c>
      <c r="X54" s="7">
        <v>232.550607320812</v>
      </c>
      <c r="Y54" s="7">
        <v>374.466710493693</v>
      </c>
      <c r="Z54" s="7">
        <v>340.292232072235</v>
      </c>
      <c r="AA54" s="15">
        <f>SUMPRODUCT(C54:Z54,Q_monthly_by_region!B54:Y54)/SUM(Q_monthly_by_region!B54:Y54)</f>
        <v>319.3025282192358</v>
      </c>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row>
    <row r="55" spans="1:53" ht="12.75">
      <c r="A55" t="s">
        <v>790</v>
      </c>
      <c r="B55" t="s">
        <v>255</v>
      </c>
      <c r="C55" s="7">
        <v>608.250205231356</v>
      </c>
      <c r="D55" s="7">
        <v>379.325667630751</v>
      </c>
      <c r="E55" s="7">
        <v>477.770222379708</v>
      </c>
      <c r="F55" s="7">
        <v>449.900426007867</v>
      </c>
      <c r="G55" s="7">
        <v>433.186009391095</v>
      </c>
      <c r="H55" s="7">
        <v>491.791230929321</v>
      </c>
      <c r="I55" s="7">
        <v>371.304930400326</v>
      </c>
      <c r="J55" s="7">
        <v>378.571119944235</v>
      </c>
      <c r="K55" s="7">
        <v>383.144752086252</v>
      </c>
      <c r="L55" s="7">
        <v>346.197882199584</v>
      </c>
      <c r="M55" s="7">
        <v>719.684107115264</v>
      </c>
      <c r="N55" s="7">
        <v>923.708414776345</v>
      </c>
      <c r="O55" s="7">
        <v>431.349403490694</v>
      </c>
      <c r="P55" s="7">
        <v>414.72505579128</v>
      </c>
      <c r="Q55" s="7">
        <v>380.981651031333</v>
      </c>
      <c r="R55" s="7">
        <v>338.767732981243</v>
      </c>
      <c r="S55" s="7">
        <v>410.541624705334</v>
      </c>
      <c r="T55" s="7">
        <v>517.32712209863</v>
      </c>
      <c r="U55" s="7">
        <v>366.533349672575</v>
      </c>
      <c r="V55" s="7">
        <v>507.848698340252</v>
      </c>
      <c r="W55" s="7">
        <v>362.676571187077</v>
      </c>
      <c r="X55" s="7">
        <v>363.740081142128</v>
      </c>
      <c r="Y55" s="7">
        <v>431.34368371515</v>
      </c>
      <c r="Z55" s="7">
        <v>466.679573003893</v>
      </c>
      <c r="AA55" s="15">
        <f>SUMPRODUCT(C55:Z55,Q_monthly_by_region!B55:Y55)/SUM(Q_monthly_by_region!B55:Y55)</f>
        <v>494.7765006878827</v>
      </c>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row>
    <row r="56" spans="1:53" ht="12.75">
      <c r="A56" t="s">
        <v>790</v>
      </c>
      <c r="B56" t="s">
        <v>256</v>
      </c>
      <c r="C56" s="7">
        <v>104.439434664166</v>
      </c>
      <c r="D56" s="7">
        <v>65.4128042011959</v>
      </c>
      <c r="E56" s="7">
        <v>179.92860936304</v>
      </c>
      <c r="F56" s="7">
        <v>166.334851656682</v>
      </c>
      <c r="G56" s="7">
        <v>89.4265507614282</v>
      </c>
      <c r="H56" s="7">
        <v>87.0613432860725</v>
      </c>
      <c r="I56" s="7">
        <v>96.514960223606</v>
      </c>
      <c r="J56" s="7">
        <v>78.2419349375269</v>
      </c>
      <c r="K56" s="7">
        <v>112.981319669827</v>
      </c>
      <c r="L56" s="7">
        <v>91.1497864571355</v>
      </c>
      <c r="M56" s="7">
        <v>142.173627509466</v>
      </c>
      <c r="N56" s="7">
        <v>218.32605389775</v>
      </c>
      <c r="O56" s="7">
        <v>109.830082644067</v>
      </c>
      <c r="P56" s="7">
        <v>104.585474869154</v>
      </c>
      <c r="Q56" s="7">
        <v>139.60922493399</v>
      </c>
      <c r="R56" s="7">
        <v>108.088893391784</v>
      </c>
      <c r="S56" s="7">
        <v>180.513221423097</v>
      </c>
      <c r="T56" s="7">
        <v>53.8228172005895</v>
      </c>
      <c r="U56" s="7">
        <v>99.0481820449224</v>
      </c>
      <c r="V56" s="7">
        <v>96.0473180992537</v>
      </c>
      <c r="W56" s="7">
        <v>101.518477770436</v>
      </c>
      <c r="X56" s="7">
        <v>104.412026319806</v>
      </c>
      <c r="Y56" s="7">
        <v>297.981538206499</v>
      </c>
      <c r="Z56" s="7">
        <v>175.661147648345</v>
      </c>
      <c r="AA56" s="15">
        <f>SUMPRODUCT(C56:Z56,Q_monthly_by_region!B56:Y56)/SUM(Q_monthly_by_region!B56:Y56)</f>
        <v>141.94030910714952</v>
      </c>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row>
    <row r="57" spans="1:53" ht="12.75">
      <c r="A57" t="s">
        <v>791</v>
      </c>
      <c r="B57" t="s">
        <v>253</v>
      </c>
      <c r="C57" s="7">
        <v>2213.75847026315</v>
      </c>
      <c r="D57" s="7">
        <v>1377.79559322791</v>
      </c>
      <c r="E57" s="7">
        <v>1357.64311443141</v>
      </c>
      <c r="F57" s="7">
        <v>1000.36285586982</v>
      </c>
      <c r="G57" s="7">
        <v>1178.84878814298</v>
      </c>
      <c r="H57" s="7">
        <v>1305.82311236917</v>
      </c>
      <c r="I57" s="7">
        <v>2371.42749364836</v>
      </c>
      <c r="J57" s="7">
        <v>1151.1400761813</v>
      </c>
      <c r="K57" s="7">
        <v>1104.87536640982</v>
      </c>
      <c r="L57" s="7">
        <v>1044.67101488024</v>
      </c>
      <c r="M57" s="7">
        <v>967.770673198836</v>
      </c>
      <c r="N57" s="7">
        <v>1637.28351993528</v>
      </c>
      <c r="O57" s="7">
        <v>1103.27274396464</v>
      </c>
      <c r="P57" s="7">
        <v>1111.57436314069</v>
      </c>
      <c r="Q57" s="7">
        <v>1321.17081742268</v>
      </c>
      <c r="R57" s="7">
        <v>1674.46044374924</v>
      </c>
      <c r="S57" s="7">
        <v>1164.70823170246</v>
      </c>
      <c r="T57" s="7">
        <v>2358.10634283211</v>
      </c>
      <c r="U57" s="7">
        <v>940.827236035035</v>
      </c>
      <c r="V57" s="7">
        <v>832.545266594686</v>
      </c>
      <c r="W57" s="7">
        <v>959.558720521075</v>
      </c>
      <c r="X57" s="7">
        <v>755.494921394908</v>
      </c>
      <c r="Y57" s="7">
        <v>778.813005094574</v>
      </c>
      <c r="Z57" s="7">
        <v>764.278168602355</v>
      </c>
      <c r="AA57" s="15">
        <f>SUMPRODUCT(C57:Z57,Q_monthly_by_region!B57:Y57)/SUM(Q_monthly_by_region!B57:Y57)</f>
        <v>1231.7436193860406</v>
      </c>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row>
    <row r="58" spans="1:53" ht="12.75">
      <c r="A58" t="s">
        <v>791</v>
      </c>
      <c r="B58" t="s">
        <v>149</v>
      </c>
      <c r="C58" s="7">
        <v>630.906564946529</v>
      </c>
      <c r="D58" s="7">
        <v>465.350482691511</v>
      </c>
      <c r="E58" s="7">
        <v>821.366520023316</v>
      </c>
      <c r="F58" s="7">
        <v>655.219808485031</v>
      </c>
      <c r="G58" s="7">
        <v>702.802586719226</v>
      </c>
      <c r="H58" s="7">
        <v>5124.85938963926</v>
      </c>
      <c r="I58" s="7">
        <v>927.637043402387</v>
      </c>
      <c r="J58" s="7">
        <v>1193.16540898917</v>
      </c>
      <c r="K58" s="7">
        <v>562.374846094021</v>
      </c>
      <c r="L58" s="7">
        <v>647.76436223754</v>
      </c>
      <c r="M58" s="7">
        <v>825.807531673201</v>
      </c>
      <c r="N58" s="7">
        <v>1817.03270015533</v>
      </c>
      <c r="O58" s="7">
        <v>617.540308315285</v>
      </c>
      <c r="P58" s="7">
        <v>581.327732850285</v>
      </c>
      <c r="Q58" s="7">
        <v>852.480619369999</v>
      </c>
      <c r="R58" s="7">
        <v>550.343893953759</v>
      </c>
      <c r="S58" s="7">
        <v>805.581457028662</v>
      </c>
      <c r="T58" s="7">
        <v>1158.88156539256</v>
      </c>
      <c r="U58" s="7">
        <v>508.123124209375</v>
      </c>
      <c r="V58" s="7">
        <v>1293.90306336809</v>
      </c>
      <c r="W58" s="7">
        <v>577.300481634117</v>
      </c>
      <c r="X58" s="7">
        <v>510.444942808002</v>
      </c>
      <c r="Y58" s="7">
        <v>4151.95094129831</v>
      </c>
      <c r="Z58" s="7">
        <v>496.133712162923</v>
      </c>
      <c r="AA58" s="15">
        <f>SUMPRODUCT(C58:Z58,Q_monthly_by_region!B58:Y58)/SUM(Q_monthly_by_region!B58:Y58)</f>
        <v>1343.867058992693</v>
      </c>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row>
    <row r="59" spans="1:53" ht="12.75">
      <c r="A59" t="s">
        <v>791</v>
      </c>
      <c r="B59" t="s">
        <v>254</v>
      </c>
      <c r="C59" s="7">
        <v>2158.43460868688</v>
      </c>
      <c r="D59" s="7">
        <v>1231.05167481796</v>
      </c>
      <c r="E59" s="7">
        <v>1983.06857304554</v>
      </c>
      <c r="F59" s="7">
        <v>2092.12959611925</v>
      </c>
      <c r="G59" s="7">
        <v>1806.28422246972</v>
      </c>
      <c r="H59" s="7">
        <v>1861.83310420558</v>
      </c>
      <c r="I59" s="7">
        <v>1635.29142266776</v>
      </c>
      <c r="J59" s="7">
        <v>1662.06159468413</v>
      </c>
      <c r="K59" s="7">
        <v>1794.28320106189</v>
      </c>
      <c r="L59" s="7">
        <v>1936.69490314944</v>
      </c>
      <c r="M59" s="7">
        <v>2297.35065153545</v>
      </c>
      <c r="N59" s="7">
        <v>4890.30545796896</v>
      </c>
      <c r="O59" s="7">
        <v>2457.91127026308</v>
      </c>
      <c r="P59" s="7">
        <v>1796.18643847283</v>
      </c>
      <c r="Q59" s="7">
        <v>2340.03365148255</v>
      </c>
      <c r="R59" s="7">
        <v>1648.54369133647</v>
      </c>
      <c r="S59" s="7">
        <v>2122.92931476868</v>
      </c>
      <c r="T59" s="7">
        <v>2592.07562883479</v>
      </c>
      <c r="U59" s="7">
        <v>1768.21782594186</v>
      </c>
      <c r="V59" s="7">
        <v>1868.48163548815</v>
      </c>
      <c r="W59" s="7">
        <v>1934.21506678634</v>
      </c>
      <c r="X59" s="7">
        <v>1737.00624695986</v>
      </c>
      <c r="Y59" s="7">
        <v>3567.14026977057</v>
      </c>
      <c r="Z59" s="7">
        <v>3456.76239748478</v>
      </c>
      <c r="AA59" s="15">
        <f>SUMPRODUCT(C59:Z59,Q_monthly_by_region!B59:Y59)/SUM(Q_monthly_by_region!B59:Y59)</f>
        <v>2534.612133399061</v>
      </c>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row>
    <row r="60" spans="1:53" ht="12.75">
      <c r="A60" t="s">
        <v>791</v>
      </c>
      <c r="B60" t="s">
        <v>255</v>
      </c>
      <c r="C60" s="7">
        <v>3410.24162022116</v>
      </c>
      <c r="D60" s="7">
        <v>1657.49886734215</v>
      </c>
      <c r="E60" s="7">
        <v>2013.93119671829</v>
      </c>
      <c r="F60" s="7">
        <v>2771.62523012789</v>
      </c>
      <c r="G60" s="7">
        <v>2107.37634044957</v>
      </c>
      <c r="H60" s="7">
        <v>1596.91136076139</v>
      </c>
      <c r="I60" s="7">
        <v>1559.16670150662</v>
      </c>
      <c r="J60" s="7">
        <v>1326.39887128576</v>
      </c>
      <c r="K60" s="7">
        <v>1311.54100392754</v>
      </c>
      <c r="L60" s="7">
        <v>1566.50980897274</v>
      </c>
      <c r="M60" s="7">
        <v>3343.84515855026</v>
      </c>
      <c r="N60" s="7">
        <v>6144.6352726873</v>
      </c>
      <c r="O60" s="7">
        <v>2757.80312896706</v>
      </c>
      <c r="P60" s="7">
        <v>1541.17777005767</v>
      </c>
      <c r="Q60" s="7">
        <v>1879.7338191749</v>
      </c>
      <c r="R60" s="7">
        <v>1839.9749989515</v>
      </c>
      <c r="S60" s="7">
        <v>1613.11637333467</v>
      </c>
      <c r="T60" s="7">
        <v>4008.45835839668</v>
      </c>
      <c r="U60" s="7">
        <v>1596.52948675558</v>
      </c>
      <c r="V60" s="7">
        <v>2591.21428343961</v>
      </c>
      <c r="W60" s="7">
        <v>1234.96959406503</v>
      </c>
      <c r="X60" s="7">
        <v>1020.80756449138</v>
      </c>
      <c r="Y60" s="7">
        <v>2817.0802397894</v>
      </c>
      <c r="Z60" s="7">
        <v>2978.28310401421</v>
      </c>
      <c r="AA60" s="15">
        <f>SUMPRODUCT(C60:Z60,Q_monthly_by_region!B60:Y60)/SUM(Q_monthly_by_region!B60:Y60)</f>
        <v>2740.2790593026675</v>
      </c>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row>
    <row r="61" spans="1:53" ht="12.75">
      <c r="A61" t="s">
        <v>791</v>
      </c>
      <c r="B61" t="s">
        <v>256</v>
      </c>
      <c r="C61" s="7">
        <v>853.253533807946</v>
      </c>
      <c r="D61" s="7">
        <v>695.995554666906</v>
      </c>
      <c r="E61" s="7">
        <v>1122.3452645242</v>
      </c>
      <c r="F61" s="7">
        <v>1145.70731286278</v>
      </c>
      <c r="G61" s="7">
        <v>929.408835632848</v>
      </c>
      <c r="H61" s="7">
        <v>918.486841205798</v>
      </c>
      <c r="I61" s="7">
        <v>699.856313213183</v>
      </c>
      <c r="J61" s="7">
        <v>687.015092650851</v>
      </c>
      <c r="K61" s="7">
        <v>738.980475835667</v>
      </c>
      <c r="L61" s="7">
        <v>763.832011147644</v>
      </c>
      <c r="M61" s="7">
        <v>829.002861710273</v>
      </c>
      <c r="N61" s="7">
        <v>1436.44423721282</v>
      </c>
      <c r="O61" s="7">
        <v>914.157209157292</v>
      </c>
      <c r="P61" s="7">
        <v>590.898928717313</v>
      </c>
      <c r="Q61" s="7">
        <v>1317.71940738827</v>
      </c>
      <c r="R61" s="7">
        <v>902.780494996236</v>
      </c>
      <c r="S61" s="7">
        <v>1273.07185836411</v>
      </c>
      <c r="T61" s="7">
        <v>727.70947476498</v>
      </c>
      <c r="U61" s="7">
        <v>808.670542551168</v>
      </c>
      <c r="V61" s="7">
        <v>848.005789972287</v>
      </c>
      <c r="W61" s="7">
        <v>644.621044809285</v>
      </c>
      <c r="X61" s="7">
        <v>739.13902547656</v>
      </c>
      <c r="Y61" s="7">
        <v>2945.19695404683</v>
      </c>
      <c r="Z61" s="7">
        <v>2217.44452237932</v>
      </c>
      <c r="AA61" s="15">
        <f>SUMPRODUCT(C61:Z61,Q_monthly_by_region!B61:Y61)/SUM(Q_monthly_by_region!B61:Y61)</f>
        <v>1179.6531588005773</v>
      </c>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row>
    <row r="62" spans="1:53" ht="12.75">
      <c r="A62" t="s">
        <v>762</v>
      </c>
      <c r="B62" t="str">
        <f>B37</f>
        <v>'Diversion from N Fork Skokomish'</v>
      </c>
      <c r="C62" s="7">
        <f>C27+C22+C17</f>
        <v>38.668960120040595</v>
      </c>
      <c r="D62" s="7">
        <f aca="true" t="shared" si="18" ref="D62:Z66">D27+D22+D17</f>
        <v>17.624630372912918</v>
      </c>
      <c r="E62" s="7">
        <f t="shared" si="18"/>
        <v>50.02884933048648</v>
      </c>
      <c r="F62" s="7">
        <f t="shared" si="18"/>
        <v>38.719364630721</v>
      </c>
      <c r="G62" s="7">
        <f t="shared" si="18"/>
        <v>35.92510872102943</v>
      </c>
      <c r="H62" s="7">
        <f t="shared" si="18"/>
        <v>19.30899969433127</v>
      </c>
      <c r="I62" s="7">
        <f t="shared" si="18"/>
        <v>37.26763351478162</v>
      </c>
      <c r="J62" s="7">
        <f t="shared" si="18"/>
        <v>19.539819058613308</v>
      </c>
      <c r="K62" s="7">
        <f t="shared" si="18"/>
        <v>15.912594494220142</v>
      </c>
      <c r="L62" s="7">
        <f t="shared" si="18"/>
        <v>27.117890764655694</v>
      </c>
      <c r="M62" s="7">
        <f t="shared" si="18"/>
        <v>37.66381368271158</v>
      </c>
      <c r="N62" s="7">
        <f t="shared" si="18"/>
        <v>34.505709980327225</v>
      </c>
      <c r="O62" s="7">
        <f t="shared" si="18"/>
        <v>39.050494771907594</v>
      </c>
      <c r="P62" s="7">
        <f t="shared" si="18"/>
        <v>32.534504658409226</v>
      </c>
      <c r="Q62" s="7">
        <f t="shared" si="18"/>
        <v>24.434348820765113</v>
      </c>
      <c r="R62" s="7">
        <f t="shared" si="18"/>
        <v>42.253263312837674</v>
      </c>
      <c r="S62" s="7">
        <f t="shared" si="18"/>
        <v>17.53277050009067</v>
      </c>
      <c r="T62" s="7">
        <f t="shared" si="18"/>
        <v>31.064706191343255</v>
      </c>
      <c r="U62" s="7">
        <f t="shared" si="18"/>
        <v>2.718261314081884</v>
      </c>
      <c r="V62" s="7">
        <f t="shared" si="18"/>
        <v>4.990095517695249</v>
      </c>
      <c r="W62" s="7">
        <f t="shared" si="18"/>
        <v>4.355907484159091</v>
      </c>
      <c r="X62" s="7">
        <f t="shared" si="18"/>
        <v>17.72003460900022</v>
      </c>
      <c r="Y62" s="7">
        <f t="shared" si="18"/>
        <v>35.25569476700666</v>
      </c>
      <c r="Z62" s="7">
        <f t="shared" si="18"/>
        <v>36.24330372776291</v>
      </c>
      <c r="AA62" s="15">
        <f>SUMPRODUCT(C62:Z62,Q_monthly_by_region!B42:Y42)/SUM(Q_monthly_by_region!B42:Y42)</f>
        <v>32.75639091702306</v>
      </c>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row>
    <row r="63" spans="1:53" ht="12.75">
      <c r="A63" t="s">
        <v>762</v>
      </c>
      <c r="B63" t="str">
        <f aca="true" t="shared" si="19" ref="B63:B71">B38</f>
        <v>'Skokomish River'</v>
      </c>
      <c r="C63" s="7">
        <f>C28+C23+C18</f>
        <v>93.942887150131</v>
      </c>
      <c r="D63" s="7">
        <f aca="true" t="shared" si="20" ref="D63:R63">D28+D23+D18</f>
        <v>55.41976603963164</v>
      </c>
      <c r="E63" s="7">
        <f t="shared" si="20"/>
        <v>103.25561843948056</v>
      </c>
      <c r="F63" s="7">
        <f t="shared" si="20"/>
        <v>50.93186608809173</v>
      </c>
      <c r="G63" s="7">
        <f t="shared" si="20"/>
        <v>64.10773356624533</v>
      </c>
      <c r="H63" s="7">
        <f t="shared" si="20"/>
        <v>33.93267047442307</v>
      </c>
      <c r="I63" s="7">
        <f t="shared" si="20"/>
        <v>49.812782740685755</v>
      </c>
      <c r="J63" s="7">
        <f t="shared" si="20"/>
        <v>40.06174926082177</v>
      </c>
      <c r="K63" s="7">
        <f t="shared" si="20"/>
        <v>47.6033184328295</v>
      </c>
      <c r="L63" s="7">
        <f t="shared" si="20"/>
        <v>62.58138628460286</v>
      </c>
      <c r="M63" s="7">
        <f t="shared" si="20"/>
        <v>138.12816269485074</v>
      </c>
      <c r="N63" s="7">
        <f t="shared" si="20"/>
        <v>140.835813383431</v>
      </c>
      <c r="O63" s="7">
        <f t="shared" si="20"/>
        <v>81.18005908340506</v>
      </c>
      <c r="P63" s="7">
        <f t="shared" si="20"/>
        <v>73.86714578114977</v>
      </c>
      <c r="Q63" s="7">
        <f t="shared" si="20"/>
        <v>16.56188972885586</v>
      </c>
      <c r="R63" s="7">
        <f t="shared" si="20"/>
        <v>42.87936656807962</v>
      </c>
      <c r="S63" s="7">
        <f t="shared" si="18"/>
        <v>50.97917624678523</v>
      </c>
      <c r="T63" s="7">
        <f t="shared" si="18"/>
        <v>27.4234582924779</v>
      </c>
      <c r="U63" s="7">
        <f t="shared" si="18"/>
        <v>39.39234217401922</v>
      </c>
      <c r="V63" s="7">
        <f t="shared" si="18"/>
        <v>50.35526919412513</v>
      </c>
      <c r="W63" s="7">
        <f t="shared" si="18"/>
        <v>32.45853761030948</v>
      </c>
      <c r="X63" s="7">
        <f t="shared" si="18"/>
        <v>46.40853451110881</v>
      </c>
      <c r="Y63" s="7">
        <f t="shared" si="18"/>
        <v>87.73473036775616</v>
      </c>
      <c r="Z63" s="7">
        <f t="shared" si="18"/>
        <v>89.04656670363703</v>
      </c>
      <c r="AA63" s="15">
        <f>SUMPRODUCT(C63:Z63,Q_monthly_by_region!B43:Y43)/SUM(Q_monthly_by_region!B43:Y43)</f>
        <v>83.10886309386525</v>
      </c>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row>
    <row r="64" spans="1:53" ht="12.75">
      <c r="A64" t="s">
        <v>762</v>
      </c>
      <c r="B64" t="str">
        <f t="shared" si="19"/>
        <v>'Sampled Kitsap/Lowland Watersheds'</v>
      </c>
      <c r="C64" s="7">
        <f>C29+C24+C19</f>
        <v>235.6418315245405</v>
      </c>
      <c r="D64" s="7">
        <f t="shared" si="18"/>
        <v>158.94578125724036</v>
      </c>
      <c r="E64" s="7">
        <f t="shared" si="18"/>
        <v>206.8885891072921</v>
      </c>
      <c r="F64" s="7">
        <f t="shared" si="18"/>
        <v>143.5725527777298</v>
      </c>
      <c r="G64" s="7">
        <f t="shared" si="18"/>
        <v>98.82113682271688</v>
      </c>
      <c r="H64" s="7">
        <f t="shared" si="18"/>
        <v>88.39475593347436</v>
      </c>
      <c r="I64" s="7">
        <f t="shared" si="18"/>
        <v>125.24777666380133</v>
      </c>
      <c r="J64" s="7">
        <f t="shared" si="18"/>
        <v>123.53829285649977</v>
      </c>
      <c r="K64" s="7">
        <f t="shared" si="18"/>
        <v>117.48880317472859</v>
      </c>
      <c r="L64" s="7">
        <f t="shared" si="18"/>
        <v>134.85739040058309</v>
      </c>
      <c r="M64" s="7">
        <f t="shared" si="18"/>
        <v>314.9953452611303</v>
      </c>
      <c r="N64" s="7">
        <f t="shared" si="18"/>
        <v>450.43433394835176</v>
      </c>
      <c r="O64" s="7">
        <f t="shared" si="18"/>
        <v>224.7710901933943</v>
      </c>
      <c r="P64" s="7">
        <f t="shared" si="18"/>
        <v>197.7562730051668</v>
      </c>
      <c r="Q64" s="7">
        <f t="shared" si="18"/>
        <v>135.10185643250267</v>
      </c>
      <c r="R64" s="7">
        <f t="shared" si="18"/>
        <v>129.11175813520083</v>
      </c>
      <c r="S64" s="7">
        <f t="shared" si="18"/>
        <v>156.27501933387862</v>
      </c>
      <c r="T64" s="7">
        <f t="shared" si="18"/>
        <v>135.64559287930484</v>
      </c>
      <c r="U64" s="7">
        <f t="shared" si="18"/>
        <v>137.37110345721123</v>
      </c>
      <c r="V64" s="7">
        <f t="shared" si="18"/>
        <v>139.76591204690004</v>
      </c>
      <c r="W64" s="7">
        <f t="shared" si="18"/>
        <v>135.4698575492651</v>
      </c>
      <c r="X64" s="7">
        <f t="shared" si="18"/>
        <v>171.5621460199508</v>
      </c>
      <c r="Y64" s="7">
        <f t="shared" si="18"/>
        <v>246.2396271044169</v>
      </c>
      <c r="Z64" s="7">
        <f t="shared" si="18"/>
        <v>246.7622134380835</v>
      </c>
      <c r="AA64" s="15">
        <f>SUMPRODUCT(C64:Z64,Q_monthly_by_region!B44:Y44)/SUM(Q_monthly_by_region!B44:Y44)</f>
        <v>211.54395250710752</v>
      </c>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row>
    <row r="65" spans="1:53" ht="12.75">
      <c r="A65" t="s">
        <v>762</v>
      </c>
      <c r="B65" t="str">
        <f t="shared" si="19"/>
        <v>'Unsampled Kitsap/Lowland Watersheds'</v>
      </c>
      <c r="C65" s="7">
        <f>C30+C25+C20</f>
        <v>449.4406238295351</v>
      </c>
      <c r="D65" s="7">
        <f t="shared" si="18"/>
        <v>299.47924092153573</v>
      </c>
      <c r="E65" s="7">
        <f t="shared" si="18"/>
        <v>347.2823706306949</v>
      </c>
      <c r="F65" s="7">
        <f t="shared" si="18"/>
        <v>292.09950636232577</v>
      </c>
      <c r="G65" s="7">
        <f t="shared" si="18"/>
        <v>260.213148644568</v>
      </c>
      <c r="H65" s="7">
        <f t="shared" si="18"/>
        <v>253.28811159046379</v>
      </c>
      <c r="I65" s="7">
        <f t="shared" si="18"/>
        <v>289.9796366336944</v>
      </c>
      <c r="J65" s="7">
        <f t="shared" si="18"/>
        <v>268.8573933969984</v>
      </c>
      <c r="K65" s="7">
        <f t="shared" si="18"/>
        <v>262.6164023142265</v>
      </c>
      <c r="L65" s="7">
        <f t="shared" si="18"/>
        <v>243.98474020216463</v>
      </c>
      <c r="M65" s="7">
        <f t="shared" si="18"/>
        <v>573.2131657198705</v>
      </c>
      <c r="N65" s="7">
        <f t="shared" si="18"/>
        <v>464.18689475075155</v>
      </c>
      <c r="O65" s="7">
        <f t="shared" si="18"/>
        <v>320.9258618974648</v>
      </c>
      <c r="P65" s="7">
        <f t="shared" si="18"/>
        <v>332.9230237964687</v>
      </c>
      <c r="Q65" s="7">
        <f t="shared" si="18"/>
        <v>287.3548836225147</v>
      </c>
      <c r="R65" s="7">
        <f t="shared" si="18"/>
        <v>251.64578163227594</v>
      </c>
      <c r="S65" s="7">
        <f t="shared" si="18"/>
        <v>294.32404331811824</v>
      </c>
      <c r="T65" s="7">
        <f t="shared" si="18"/>
        <v>302.1494263875142</v>
      </c>
      <c r="U65" s="7">
        <f t="shared" si="18"/>
        <v>294.3189994684928</v>
      </c>
      <c r="V65" s="7">
        <f t="shared" si="18"/>
        <v>134.74275966594755</v>
      </c>
      <c r="W65" s="7">
        <f t="shared" si="18"/>
        <v>271.54153088255873</v>
      </c>
      <c r="X65" s="7">
        <f t="shared" si="18"/>
        <v>313.79389945034785</v>
      </c>
      <c r="Y65" s="7">
        <f t="shared" si="18"/>
        <v>318.50043546507516</v>
      </c>
      <c r="Z65" s="7">
        <f t="shared" si="18"/>
        <v>329.1809632108562</v>
      </c>
      <c r="AA65" s="15">
        <f>SUMPRODUCT(C65:Z65,Q_monthly_by_region!B45:Y45)/SUM(Q_monthly_by_region!B45:Y45)</f>
        <v>339.002914446983</v>
      </c>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row>
    <row r="66" spans="1:53" ht="12.75">
      <c r="A66" t="s">
        <v>762</v>
      </c>
      <c r="B66" t="str">
        <f t="shared" si="19"/>
        <v>'Other Olympic Mountain Rivers'</v>
      </c>
      <c r="C66" s="7">
        <f>C31+C26+C21</f>
        <v>64.91658772148898</v>
      </c>
      <c r="D66" s="7">
        <f t="shared" si="18"/>
        <v>43.89945042685638</v>
      </c>
      <c r="E66" s="7">
        <f t="shared" si="18"/>
        <v>98.76946784056412</v>
      </c>
      <c r="F66" s="7">
        <f t="shared" si="18"/>
        <v>65.81314155474601</v>
      </c>
      <c r="G66" s="7">
        <f t="shared" si="18"/>
        <v>36.2538365217089</v>
      </c>
      <c r="H66" s="7">
        <f t="shared" si="18"/>
        <v>30.878669625748667</v>
      </c>
      <c r="I66" s="7">
        <f t="shared" si="18"/>
        <v>43.41907842788845</v>
      </c>
      <c r="J66" s="7">
        <f t="shared" si="18"/>
        <v>27.12729288555663</v>
      </c>
      <c r="K66" s="7">
        <f t="shared" si="18"/>
        <v>48.95249726444045</v>
      </c>
      <c r="L66" s="7">
        <f t="shared" si="18"/>
        <v>51.88140676314124</v>
      </c>
      <c r="M66" s="7">
        <f t="shared" si="18"/>
        <v>90.70641568541166</v>
      </c>
      <c r="N66" s="7">
        <f t="shared" si="18"/>
        <v>118.02030931636104</v>
      </c>
      <c r="O66" s="7">
        <f t="shared" si="18"/>
        <v>77.60626434761538</v>
      </c>
      <c r="P66" s="7">
        <f t="shared" si="18"/>
        <v>63.748952344007876</v>
      </c>
      <c r="Q66" s="7">
        <f t="shared" si="18"/>
        <v>36.53129788448839</v>
      </c>
      <c r="R66" s="7">
        <f t="shared" si="18"/>
        <v>48.588588626737995</v>
      </c>
      <c r="S66" s="7">
        <f t="shared" si="18"/>
        <v>40.88850456668318</v>
      </c>
      <c r="T66" s="7">
        <f t="shared" si="18"/>
        <v>25.626454968951155</v>
      </c>
      <c r="U66" s="7">
        <f t="shared" si="18"/>
        <v>18.273037844470824</v>
      </c>
      <c r="V66" s="7">
        <f t="shared" si="18"/>
        <v>29.122039121401514</v>
      </c>
      <c r="W66" s="7">
        <f t="shared" si="18"/>
        <v>52.702803876398264</v>
      </c>
      <c r="X66" s="7">
        <f t="shared" si="18"/>
        <v>73.55347732433674</v>
      </c>
      <c r="Y66" s="7">
        <f t="shared" si="18"/>
        <v>110.7638598292549</v>
      </c>
      <c r="Z66" s="7">
        <f t="shared" si="18"/>
        <v>149.05085325957367</v>
      </c>
      <c r="AA66" s="15">
        <f>SUMPRODUCT(C66:Z66,Q_monthly_by_region!B46:Y46)/SUM(Q_monthly_by_region!B46:Y46)</f>
        <v>69.43666197214047</v>
      </c>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row>
    <row r="67" spans="1:53" ht="12.75">
      <c r="A67" t="s">
        <v>792</v>
      </c>
      <c r="B67" t="str">
        <f>B42</f>
        <v>'Diversion from N Fork Skokomish'</v>
      </c>
      <c r="C67" s="7">
        <f>C42+C7</f>
        <v>117.35580395321513</v>
      </c>
      <c r="D67" s="7">
        <f aca="true" t="shared" si="21" ref="D67:Z71">D42+D7</f>
        <v>86.6397349944547</v>
      </c>
      <c r="E67" s="7">
        <f t="shared" si="21"/>
        <v>88.50074980205369</v>
      </c>
      <c r="F67" s="7">
        <f t="shared" si="21"/>
        <v>80.64904881867349</v>
      </c>
      <c r="G67" s="7">
        <f t="shared" si="21"/>
        <v>94.8969235646952</v>
      </c>
      <c r="H67" s="7">
        <f t="shared" si="21"/>
        <v>64.01213298536149</v>
      </c>
      <c r="I67" s="7">
        <f t="shared" si="21"/>
        <v>73.8186872313443</v>
      </c>
      <c r="J67" s="7">
        <f t="shared" si="21"/>
        <v>50.0481630188595</v>
      </c>
      <c r="K67" s="7">
        <f t="shared" si="21"/>
        <v>77.68304157205169</v>
      </c>
      <c r="L67" s="7">
        <f t="shared" si="21"/>
        <v>62.217847697549104</v>
      </c>
      <c r="M67" s="7">
        <f t="shared" si="21"/>
        <v>99.3056846143871</v>
      </c>
      <c r="N67" s="7">
        <f t="shared" si="21"/>
        <v>69.5771844619552</v>
      </c>
      <c r="O67" s="7">
        <f t="shared" si="21"/>
        <v>83.38143855834221</v>
      </c>
      <c r="P67" s="7">
        <f t="shared" si="21"/>
        <v>85.83417219639679</v>
      </c>
      <c r="Q67" s="7">
        <f t="shared" si="21"/>
        <v>107.3756064411593</v>
      </c>
      <c r="R67" s="7">
        <f t="shared" si="21"/>
        <v>130.4120025438046</v>
      </c>
      <c r="S67" s="7">
        <f t="shared" si="21"/>
        <v>70.1479885510351</v>
      </c>
      <c r="T67" s="7">
        <f t="shared" si="21"/>
        <v>26.56848550153552</v>
      </c>
      <c r="U67" s="7">
        <f t="shared" si="21"/>
        <v>26.129748899040003</v>
      </c>
      <c r="V67" s="7">
        <f t="shared" si="21"/>
        <v>32.95260826141494</v>
      </c>
      <c r="W67" s="7">
        <f t="shared" si="21"/>
        <v>56.7623255184756</v>
      </c>
      <c r="X67" s="7">
        <f t="shared" si="21"/>
        <v>59.1100489434683</v>
      </c>
      <c r="Y67" s="7">
        <f t="shared" si="21"/>
        <v>20.0661873055119</v>
      </c>
      <c r="Z67" s="7">
        <f t="shared" si="21"/>
        <v>32.9552332925737</v>
      </c>
      <c r="AA67" s="15">
        <f>SUMPRODUCT(C67:Z67,Q_monthly_by_region!B47:Y47)/SUM(Q_monthly_by_region!B47:Y47)</f>
        <v>74.80694461859393</v>
      </c>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row>
    <row r="68" spans="1:53" ht="12.75">
      <c r="A68" t="s">
        <v>792</v>
      </c>
      <c r="B68" t="str">
        <f t="shared" si="19"/>
        <v>'Skokomish River'</v>
      </c>
      <c r="C68" s="7">
        <f>C43+C8</f>
        <v>30.7238634534169</v>
      </c>
      <c r="D68" s="7">
        <f aca="true" t="shared" si="22" ref="D68:R68">D43+D8</f>
        <v>27.46999361793847</v>
      </c>
      <c r="E68" s="7">
        <f t="shared" si="22"/>
        <v>59.457867774993396</v>
      </c>
      <c r="F68" s="7">
        <f t="shared" si="22"/>
        <v>53.7953111023038</v>
      </c>
      <c r="G68" s="7">
        <f t="shared" si="22"/>
        <v>58.9846329470591</v>
      </c>
      <c r="H68" s="7">
        <f t="shared" si="22"/>
        <v>503.971851856286</v>
      </c>
      <c r="I68" s="7">
        <f t="shared" si="22"/>
        <v>77.4566339104568</v>
      </c>
      <c r="J68" s="7">
        <f t="shared" si="22"/>
        <v>128.19781861097</v>
      </c>
      <c r="K68" s="7">
        <f t="shared" si="22"/>
        <v>55.665353117613</v>
      </c>
      <c r="L68" s="7">
        <f t="shared" si="22"/>
        <v>36.4157595758491</v>
      </c>
      <c r="M68" s="7">
        <f t="shared" si="22"/>
        <v>42.1131374444587</v>
      </c>
      <c r="N68" s="7">
        <f t="shared" si="22"/>
        <v>148.9240628941444</v>
      </c>
      <c r="O68" s="7">
        <f t="shared" si="22"/>
        <v>52.983930269152594</v>
      </c>
      <c r="P68" s="7">
        <f t="shared" si="22"/>
        <v>41.9122303896537</v>
      </c>
      <c r="Q68" s="7">
        <f t="shared" si="22"/>
        <v>162.64910301559098</v>
      </c>
      <c r="R68" s="7">
        <f t="shared" si="22"/>
        <v>21.36984864169366</v>
      </c>
      <c r="S68" s="7">
        <f t="shared" si="21"/>
        <v>48.0379844312875</v>
      </c>
      <c r="T68" s="7">
        <f t="shared" si="21"/>
        <v>168.0825862183459</v>
      </c>
      <c r="U68" s="7">
        <f t="shared" si="21"/>
        <v>57.8828879451646</v>
      </c>
      <c r="V68" s="7">
        <f t="shared" si="21"/>
        <v>111.5946360533316</v>
      </c>
      <c r="W68" s="7">
        <f t="shared" si="21"/>
        <v>51.4073136049762</v>
      </c>
      <c r="X68" s="7">
        <f t="shared" si="21"/>
        <v>23.481035514463052</v>
      </c>
      <c r="Y68" s="7">
        <f t="shared" si="21"/>
        <v>282.53578725438325</v>
      </c>
      <c r="Z68" s="7">
        <f t="shared" si="21"/>
        <v>32.4970839627547</v>
      </c>
      <c r="AA68" s="15">
        <f>SUMPRODUCT(C68:Z68,Q_monthly_by_region!B48:Y48)/SUM(Q_monthly_by_region!B48:Y48)</f>
        <v>102.93149644431307</v>
      </c>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row>
    <row r="69" spans="1:53" ht="12.75">
      <c r="A69" t="s">
        <v>792</v>
      </c>
      <c r="B69" t="str">
        <f t="shared" si="19"/>
        <v>'Sampled Kitsap/Lowland Watersheds'</v>
      </c>
      <c r="C69" s="7">
        <f>C44+C9</f>
        <v>79.9544717409851</v>
      </c>
      <c r="D69" s="7">
        <f t="shared" si="21"/>
        <v>58.144139895101404</v>
      </c>
      <c r="E69" s="7">
        <f t="shared" si="21"/>
        <v>91.8645070651512</v>
      </c>
      <c r="F69" s="7">
        <f t="shared" si="21"/>
        <v>98.79688056438269</v>
      </c>
      <c r="G69" s="7">
        <f t="shared" si="21"/>
        <v>115.8750460876399</v>
      </c>
      <c r="H69" s="7">
        <f t="shared" si="21"/>
        <v>173.9368199091738</v>
      </c>
      <c r="I69" s="7">
        <f t="shared" si="21"/>
        <v>113.1720336398221</v>
      </c>
      <c r="J69" s="7">
        <f t="shared" si="21"/>
        <v>106.47484933151921</v>
      </c>
      <c r="K69" s="7">
        <f t="shared" si="21"/>
        <v>143.5097339212055</v>
      </c>
      <c r="L69" s="7">
        <f t="shared" si="21"/>
        <v>114.10995335553841</v>
      </c>
      <c r="M69" s="7">
        <f t="shared" si="21"/>
        <v>101.07514217127721</v>
      </c>
      <c r="N69" s="7">
        <f t="shared" si="21"/>
        <v>190.0489413549773</v>
      </c>
      <c r="O69" s="7">
        <f t="shared" si="21"/>
        <v>96.7877017738754</v>
      </c>
      <c r="P69" s="7">
        <f t="shared" si="21"/>
        <v>88.4385841146615</v>
      </c>
      <c r="Q69" s="7">
        <f t="shared" si="21"/>
        <v>139.6860911352938</v>
      </c>
      <c r="R69" s="7">
        <f t="shared" si="21"/>
        <v>73.3494281183753</v>
      </c>
      <c r="S69" s="7">
        <f t="shared" si="21"/>
        <v>177.0435701791346</v>
      </c>
      <c r="T69" s="7">
        <f t="shared" si="21"/>
        <v>114.56314888824389</v>
      </c>
      <c r="U69" s="7">
        <f t="shared" si="21"/>
        <v>117.56296869347891</v>
      </c>
      <c r="V69" s="7">
        <f t="shared" si="21"/>
        <v>115.4297310760529</v>
      </c>
      <c r="W69" s="7">
        <f t="shared" si="21"/>
        <v>101.2403562981098</v>
      </c>
      <c r="X69" s="7">
        <f t="shared" si="21"/>
        <v>60.4668611402505</v>
      </c>
      <c r="Y69" s="7">
        <f t="shared" si="21"/>
        <v>128.0976591015374</v>
      </c>
      <c r="Z69" s="7">
        <f t="shared" si="21"/>
        <v>92.59078874719093</v>
      </c>
      <c r="AA69" s="15">
        <f>SUMPRODUCT(C69:Z69,Q_monthly_by_region!B49:Y49)/SUM(Q_monthly_by_region!B49:Y49)</f>
        <v>108.2642270270786</v>
      </c>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row>
    <row r="70" spans="1:53" ht="12.75">
      <c r="A70" t="s">
        <v>792</v>
      </c>
      <c r="B70" t="str">
        <f t="shared" si="19"/>
        <v>'Unsampled Kitsap/Lowland Watersheds'</v>
      </c>
      <c r="C70" s="7">
        <f>C45+C10</f>
        <v>158.8095814018208</v>
      </c>
      <c r="D70" s="7">
        <f t="shared" si="21"/>
        <v>79.8464267092161</v>
      </c>
      <c r="E70" s="7">
        <f t="shared" si="21"/>
        <v>130.4878517490134</v>
      </c>
      <c r="F70" s="7">
        <f t="shared" si="21"/>
        <v>157.8009196455408</v>
      </c>
      <c r="G70" s="7">
        <f t="shared" si="21"/>
        <v>172.9728607465267</v>
      </c>
      <c r="H70" s="7">
        <f t="shared" si="21"/>
        <v>238.5031193388577</v>
      </c>
      <c r="I70" s="7">
        <f t="shared" si="21"/>
        <v>81.3252937666318</v>
      </c>
      <c r="J70" s="7">
        <f t="shared" si="21"/>
        <v>109.7137265472365</v>
      </c>
      <c r="K70" s="7">
        <f t="shared" si="21"/>
        <v>120.5283497720248</v>
      </c>
      <c r="L70" s="7">
        <f t="shared" si="21"/>
        <v>102.2131419974195</v>
      </c>
      <c r="M70" s="7">
        <f t="shared" si="21"/>
        <v>146.470941395393</v>
      </c>
      <c r="N70" s="7">
        <f t="shared" si="21"/>
        <v>459.52152002559296</v>
      </c>
      <c r="O70" s="7">
        <f t="shared" si="21"/>
        <v>110.4235415932293</v>
      </c>
      <c r="P70" s="7">
        <f t="shared" si="21"/>
        <v>81.8020319948114</v>
      </c>
      <c r="Q70" s="7">
        <f t="shared" si="21"/>
        <v>93.6267674088178</v>
      </c>
      <c r="R70" s="7">
        <f t="shared" si="21"/>
        <v>87.121951348967</v>
      </c>
      <c r="S70" s="7">
        <f t="shared" si="21"/>
        <v>185.0502456347629</v>
      </c>
      <c r="T70" s="7">
        <f t="shared" si="21"/>
        <v>215.1776957111148</v>
      </c>
      <c r="U70" s="7">
        <f t="shared" si="21"/>
        <v>101.3156118813714</v>
      </c>
      <c r="V70" s="7">
        <f t="shared" si="21"/>
        <v>373.105938674303</v>
      </c>
      <c r="W70" s="7">
        <f t="shared" si="21"/>
        <v>91.1350403045185</v>
      </c>
      <c r="X70" s="7">
        <f t="shared" si="21"/>
        <v>49.9461816917796</v>
      </c>
      <c r="Y70" s="7">
        <f t="shared" si="21"/>
        <v>112.8432482500746</v>
      </c>
      <c r="Z70" s="7">
        <f t="shared" si="21"/>
        <v>137.498609793036</v>
      </c>
      <c r="AA70" s="15">
        <f>SUMPRODUCT(C70:Z70,Q_monthly_by_region!B50:Y50)/SUM(Q_monthly_by_region!B50:Y50)</f>
        <v>156.97349510921356</v>
      </c>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row>
    <row r="71" spans="1:53" ht="12.75">
      <c r="A71" t="s">
        <v>792</v>
      </c>
      <c r="B71" t="str">
        <f t="shared" si="19"/>
        <v>'Other Olympic Mountain Rivers'</v>
      </c>
      <c r="C71" s="7">
        <f>C46+C11</f>
        <v>39.5228469426775</v>
      </c>
      <c r="D71" s="7">
        <f t="shared" si="21"/>
        <v>21.51335377433947</v>
      </c>
      <c r="E71" s="7">
        <f t="shared" si="21"/>
        <v>81.1591415224762</v>
      </c>
      <c r="F71" s="7">
        <f t="shared" si="21"/>
        <v>100.5217101019357</v>
      </c>
      <c r="G71" s="7">
        <f t="shared" si="21"/>
        <v>53.1727142397192</v>
      </c>
      <c r="H71" s="7">
        <f t="shared" si="21"/>
        <v>56.1826736603237</v>
      </c>
      <c r="I71" s="7">
        <f t="shared" si="21"/>
        <v>53.0958817957174</v>
      </c>
      <c r="J71" s="7">
        <f t="shared" si="21"/>
        <v>51.1146420519702</v>
      </c>
      <c r="K71" s="7">
        <f t="shared" si="21"/>
        <v>64.0288224053872</v>
      </c>
      <c r="L71" s="7">
        <f t="shared" si="21"/>
        <v>39.2683796939942</v>
      </c>
      <c r="M71" s="7">
        <f t="shared" si="21"/>
        <v>51.4672118240551</v>
      </c>
      <c r="N71" s="7">
        <f t="shared" si="21"/>
        <v>100.3057445813891</v>
      </c>
      <c r="O71" s="7">
        <f t="shared" si="21"/>
        <v>32.2238182964524</v>
      </c>
      <c r="P71" s="7">
        <f t="shared" si="21"/>
        <v>40.836522525146904</v>
      </c>
      <c r="Q71" s="7">
        <f t="shared" si="21"/>
        <v>103.07792704950171</v>
      </c>
      <c r="R71" s="7">
        <f t="shared" si="21"/>
        <v>59.5003047650458</v>
      </c>
      <c r="S71" s="7">
        <f t="shared" si="21"/>
        <v>138.9761848952762</v>
      </c>
      <c r="T71" s="7">
        <f t="shared" si="21"/>
        <v>28.19636223163822</v>
      </c>
      <c r="U71" s="7">
        <f t="shared" si="21"/>
        <v>68.7742150765346</v>
      </c>
      <c r="V71" s="7">
        <f t="shared" si="21"/>
        <v>66.9252789778519</v>
      </c>
      <c r="W71" s="7">
        <f t="shared" si="21"/>
        <v>48.815673894038</v>
      </c>
      <c r="X71" s="7">
        <f t="shared" si="21"/>
        <v>30.858548995469704</v>
      </c>
      <c r="Y71" s="7">
        <f t="shared" si="21"/>
        <v>187.2176783772432</v>
      </c>
      <c r="Z71" s="7">
        <f t="shared" si="21"/>
        <v>26.6102943887709</v>
      </c>
      <c r="AA71" s="15">
        <f>SUMPRODUCT(C71:Z71,Q_monthly_by_region!B51:Y51)/SUM(Q_monthly_by_region!B51:Y51)</f>
        <v>72.17048476246147</v>
      </c>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row>
    <row r="72" spans="27:53" ht="12.75">
      <c r="AA72" s="15"/>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row>
    <row r="73" spans="27:53" ht="12.75">
      <c r="AA73" s="15"/>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row>
    <row r="74" spans="1:53" ht="12.75">
      <c r="A74" t="s">
        <v>94</v>
      </c>
      <c r="AA74" s="15"/>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row>
    <row r="75" spans="2:53" ht="12.75">
      <c r="B75" t="str">
        <f>B67</f>
        <v>'Diversion from N Fork Skokomish'</v>
      </c>
      <c r="C75" s="264">
        <f>C42/C52</f>
        <v>0.69386534846937</v>
      </c>
      <c r="D75" s="264">
        <f aca="true" t="shared" si="23" ref="D75:Z79">D42/D52</f>
        <v>0.28242179901644104</v>
      </c>
      <c r="E75" s="264">
        <f t="shared" si="23"/>
        <v>0.42770358988013646</v>
      </c>
      <c r="F75" s="264">
        <f t="shared" si="23"/>
        <v>0.21954547443487651</v>
      </c>
      <c r="G75" s="264">
        <f t="shared" si="23"/>
        <v>0.42292970371515737</v>
      </c>
      <c r="H75" s="264">
        <f t="shared" si="23"/>
        <v>0.47903553277976646</v>
      </c>
      <c r="I75" s="264">
        <f t="shared" si="23"/>
        <v>0.5567523791732013</v>
      </c>
      <c r="J75" s="264">
        <f t="shared" si="23"/>
        <v>0.4559391149993864</v>
      </c>
      <c r="K75" s="264">
        <f t="shared" si="23"/>
        <v>0.2563147549928197</v>
      </c>
      <c r="L75" s="264">
        <f t="shared" si="23"/>
        <v>0.15218806680693917</v>
      </c>
      <c r="M75" s="264">
        <f t="shared" si="23"/>
        <v>0.23790259116469287</v>
      </c>
      <c r="N75" s="264">
        <f t="shared" si="23"/>
        <v>0.19603998426887653</v>
      </c>
      <c r="O75" s="264">
        <f t="shared" si="23"/>
        <v>0.3135111746390948</v>
      </c>
      <c r="P75" s="264">
        <f t="shared" si="23"/>
        <v>0.42987102164603813</v>
      </c>
      <c r="Q75" s="264">
        <f t="shared" si="23"/>
        <v>0.4168779441988768</v>
      </c>
      <c r="R75" s="264">
        <f t="shared" si="23"/>
        <v>0.4603215916395761</v>
      </c>
      <c r="S75" s="264">
        <f t="shared" si="23"/>
        <v>0.32850407770134427</v>
      </c>
      <c r="T75" s="264">
        <f t="shared" si="23"/>
        <v>0.33525819813979585</v>
      </c>
      <c r="U75" s="264">
        <f t="shared" si="23"/>
        <v>0.23385727257431674</v>
      </c>
      <c r="V75" s="264">
        <f t="shared" si="23"/>
        <v>0.059032471476469124</v>
      </c>
      <c r="W75" s="264">
        <f t="shared" si="23"/>
        <v>0.40614080325555124</v>
      </c>
      <c r="X75" s="264">
        <f t="shared" si="23"/>
        <v>0.5682658650796129</v>
      </c>
      <c r="Y75" s="264">
        <f t="shared" si="23"/>
        <v>0.04439121442025972</v>
      </c>
      <c r="Z75" s="264">
        <f t="shared" si="23"/>
        <v>0.0866708337821911</v>
      </c>
      <c r="AA75" s="15"/>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row>
    <row r="76" spans="2:53" ht="12.75">
      <c r="B76" t="str">
        <f>B68</f>
        <v>'Skokomish River'</v>
      </c>
      <c r="C76" s="264">
        <f>C43/C53</f>
        <v>0.10987129124454598</v>
      </c>
      <c r="D76" s="264">
        <f aca="true" t="shared" si="24" ref="D76:R76">D43/D53</f>
        <v>0.08642781432411721</v>
      </c>
      <c r="E76" s="264">
        <f t="shared" si="24"/>
        <v>0.27101966770785013</v>
      </c>
      <c r="F76" s="264">
        <f t="shared" si="24"/>
        <v>0.09955045853124916</v>
      </c>
      <c r="G76" s="264">
        <f t="shared" si="24"/>
        <v>0.26312123440945817</v>
      </c>
      <c r="H76" s="264">
        <f t="shared" si="24"/>
        <v>0.8217115621423844</v>
      </c>
      <c r="I76" s="264">
        <f t="shared" si="24"/>
        <v>0.2739904365977457</v>
      </c>
      <c r="J76" s="264">
        <f t="shared" si="24"/>
        <v>0.4945887703281707</v>
      </c>
      <c r="K76" s="264">
        <f t="shared" si="24"/>
        <v>0.2782489393203298</v>
      </c>
      <c r="L76" s="264">
        <f t="shared" si="24"/>
        <v>0.10935921339854433</v>
      </c>
      <c r="M76" s="264">
        <f t="shared" si="24"/>
        <v>0.17278117197121373</v>
      </c>
      <c r="N76" s="264">
        <f t="shared" si="24"/>
        <v>0.3985168025557234</v>
      </c>
      <c r="O76" s="264">
        <f t="shared" si="24"/>
        <v>0.2907856158591222</v>
      </c>
      <c r="P76" s="264">
        <f t="shared" si="24"/>
        <v>0.21745532858326233</v>
      </c>
      <c r="Q76" s="264">
        <f t="shared" si="24"/>
        <v>0.10019643722193705</v>
      </c>
      <c r="R76" s="264">
        <f t="shared" si="24"/>
        <v>0.2525681002145218</v>
      </c>
      <c r="S76" s="264">
        <f t="shared" si="23"/>
        <v>0.2976123427985994</v>
      </c>
      <c r="T76" s="264">
        <f t="shared" si="23"/>
        <v>0.6579489668560045</v>
      </c>
      <c r="U76" s="264">
        <f t="shared" si="23"/>
        <v>0.15713816107840228</v>
      </c>
      <c r="V76" s="264">
        <f t="shared" si="23"/>
        <v>0.5070851994295318</v>
      </c>
      <c r="W76" s="264">
        <f t="shared" si="23"/>
        <v>0.284248590511592</v>
      </c>
      <c r="X76" s="264">
        <f t="shared" si="23"/>
        <v>0.2049820034292127</v>
      </c>
      <c r="Y76" s="264">
        <f t="shared" si="23"/>
        <v>0.7693657146083624</v>
      </c>
      <c r="Z76" s="264">
        <f t="shared" si="23"/>
        <v>0.13186857566901247</v>
      </c>
      <c r="AA76" s="15"/>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row>
    <row r="77" spans="2:53" ht="12.75">
      <c r="B77" t="str">
        <f>B69</f>
        <v>'Sampled Kitsap/Lowland Watersheds'</v>
      </c>
      <c r="C77" s="264">
        <f>C44/C54</f>
        <v>0.12704527725085552</v>
      </c>
      <c r="D77" s="264">
        <f t="shared" si="23"/>
        <v>0.08928135186839604</v>
      </c>
      <c r="E77" s="264">
        <f t="shared" si="23"/>
        <v>0.11282673253783455</v>
      </c>
      <c r="F77" s="264">
        <f t="shared" si="23"/>
        <v>0.10552161434113799</v>
      </c>
      <c r="G77" s="264">
        <f t="shared" si="23"/>
        <v>0.1594023798675828</v>
      </c>
      <c r="H77" s="264">
        <f t="shared" si="23"/>
        <v>0.1548628133406082</v>
      </c>
      <c r="I77" s="264">
        <f t="shared" si="23"/>
        <v>0.2054105735126772</v>
      </c>
      <c r="J77" s="264">
        <f t="shared" si="23"/>
        <v>0.1978650310734963</v>
      </c>
      <c r="K77" s="264">
        <f t="shared" si="23"/>
        <v>0.3529469168465583</v>
      </c>
      <c r="L77" s="264">
        <f t="shared" si="23"/>
        <v>0.1392644420887456</v>
      </c>
      <c r="M77" s="264">
        <f t="shared" si="23"/>
        <v>0.08771268071128735</v>
      </c>
      <c r="N77" s="264">
        <f t="shared" si="23"/>
        <v>0.11212862122515065</v>
      </c>
      <c r="O77" s="264">
        <f t="shared" si="23"/>
        <v>0.14637229574477803</v>
      </c>
      <c r="P77" s="264">
        <f t="shared" si="23"/>
        <v>0.12830626689932495</v>
      </c>
      <c r="Q77" s="264">
        <f t="shared" si="23"/>
        <v>0.13416600974980808</v>
      </c>
      <c r="R77" s="264">
        <f t="shared" si="23"/>
        <v>0.13011418153332843</v>
      </c>
      <c r="S77" s="264">
        <f t="shared" si="23"/>
        <v>0.22932553344063214</v>
      </c>
      <c r="T77" s="264">
        <f t="shared" si="23"/>
        <v>0.3179500163172484</v>
      </c>
      <c r="U77" s="264">
        <f t="shared" si="23"/>
        <v>0.18803879654032782</v>
      </c>
      <c r="V77" s="264">
        <f t="shared" si="23"/>
        <v>0.31660755084932835</v>
      </c>
      <c r="W77" s="264">
        <f t="shared" si="23"/>
        <v>0.2100726333381948</v>
      </c>
      <c r="X77" s="264">
        <f t="shared" si="23"/>
        <v>0.08920855740909471</v>
      </c>
      <c r="Y77" s="264">
        <f t="shared" si="23"/>
        <v>0.09296539319660682</v>
      </c>
      <c r="Z77" s="264">
        <f t="shared" si="23"/>
        <v>0.0258767179715928</v>
      </c>
      <c r="AA77" s="15"/>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row>
    <row r="78" spans="2:53" ht="12.75">
      <c r="B78" t="str">
        <f>B70</f>
        <v>'Unsampled Kitsap/Lowland Watersheds'</v>
      </c>
      <c r="C78" s="264">
        <f>C45/C55</f>
        <v>0.08817817969457199</v>
      </c>
      <c r="D78" s="264">
        <f t="shared" si="23"/>
        <v>0.04660718471964743</v>
      </c>
      <c r="E78" s="264">
        <f t="shared" si="23"/>
        <v>0.07262284150602363</v>
      </c>
      <c r="F78" s="264">
        <f t="shared" si="23"/>
        <v>0.08571799224254892</v>
      </c>
      <c r="G78" s="264">
        <f t="shared" si="23"/>
        <v>0.08883786823648696</v>
      </c>
      <c r="H78" s="264">
        <f t="shared" si="23"/>
        <v>0.03594803508175499</v>
      </c>
      <c r="I78" s="264">
        <f t="shared" si="23"/>
        <v>0.11664421539286507</v>
      </c>
      <c r="J78" s="264">
        <f t="shared" si="23"/>
        <v>0.07556187031681631</v>
      </c>
      <c r="K78" s="264">
        <f t="shared" si="23"/>
        <v>0.21887155711034845</v>
      </c>
      <c r="L78" s="264">
        <f t="shared" si="23"/>
        <v>0.12360686256858223</v>
      </c>
      <c r="M78" s="264">
        <f t="shared" si="23"/>
        <v>0.04512234984151181</v>
      </c>
      <c r="N78" s="264">
        <f t="shared" si="23"/>
        <v>0.12065971923748486</v>
      </c>
      <c r="O78" s="264">
        <f t="shared" si="23"/>
        <v>0.12630499424534453</v>
      </c>
      <c r="P78" s="264">
        <f t="shared" si="23"/>
        <v>0.08160276330316808</v>
      </c>
      <c r="Q78" s="264">
        <f t="shared" si="23"/>
        <v>0.08936786444941054</v>
      </c>
      <c r="R78" s="264">
        <f t="shared" si="23"/>
        <v>0.0707264622357458</v>
      </c>
      <c r="S78" s="264">
        <f t="shared" si="23"/>
        <v>0.11223641916473673</v>
      </c>
      <c r="T78" s="264">
        <f t="shared" si="23"/>
        <v>0.367912629445923</v>
      </c>
      <c r="U78" s="264">
        <f t="shared" si="23"/>
        <v>0.14108235807712474</v>
      </c>
      <c r="V78" s="264">
        <f t="shared" si="23"/>
        <v>0.3655615570469159</v>
      </c>
      <c r="W78" s="264">
        <f t="shared" si="23"/>
        <v>0.09763402761011854</v>
      </c>
      <c r="X78" s="264">
        <f t="shared" si="23"/>
        <v>0.04945926040657849</v>
      </c>
      <c r="Y78" s="264">
        <f t="shared" si="23"/>
        <v>0.05357475002499368</v>
      </c>
      <c r="Z78" s="264">
        <f t="shared" si="23"/>
        <v>0.022628469004834516</v>
      </c>
      <c r="AA78" s="15"/>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row>
    <row r="79" spans="2:53" ht="12.75">
      <c r="B79" t="str">
        <f>B71</f>
        <v>'Other Olympic Mountain Rivers'</v>
      </c>
      <c r="C79" s="264">
        <f>C46/C56</f>
        <v>0.17639482383819083</v>
      </c>
      <c r="D79" s="264">
        <f t="shared" si="23"/>
        <v>0.1192833246268644</v>
      </c>
      <c r="E79" s="264">
        <f t="shared" si="23"/>
        <v>0.10178941859355824</v>
      </c>
      <c r="F79" s="264">
        <f t="shared" si="23"/>
        <v>0.17549869853887787</v>
      </c>
      <c r="G79" s="264">
        <f t="shared" si="23"/>
        <v>0.23142630174510015</v>
      </c>
      <c r="H79" s="264">
        <f t="shared" si="23"/>
        <v>0.2145472228138824</v>
      </c>
      <c r="I79" s="264">
        <f t="shared" si="23"/>
        <v>0.22978302274368698</v>
      </c>
      <c r="J79" s="264">
        <f t="shared" si="23"/>
        <v>0.24315853657510472</v>
      </c>
      <c r="K79" s="264">
        <f t="shared" si="23"/>
        <v>0.2339347641605386</v>
      </c>
      <c r="L79" s="264">
        <f t="shared" si="23"/>
        <v>0.2342571601705377</v>
      </c>
      <c r="M79" s="264">
        <f t="shared" si="23"/>
        <v>0.11895440435796982</v>
      </c>
      <c r="N79" s="264">
        <f t="shared" si="23"/>
        <v>0.14256217413127745</v>
      </c>
      <c r="O79" s="264">
        <f t="shared" si="23"/>
        <v>0.16420458058819665</v>
      </c>
      <c r="P79" s="264">
        <f t="shared" si="23"/>
        <v>0.10996873560918541</v>
      </c>
      <c r="Q79" s="264">
        <f t="shared" si="23"/>
        <v>0.2193432207028221</v>
      </c>
      <c r="R79" s="264">
        <f t="shared" si="23"/>
        <v>0.1403796232737411</v>
      </c>
      <c r="S79" s="264">
        <f t="shared" si="23"/>
        <v>0.5936384093420856</v>
      </c>
      <c r="T79" s="264">
        <f t="shared" si="23"/>
        <v>0.40242814019097034</v>
      </c>
      <c r="U79" s="264">
        <f t="shared" si="23"/>
        <v>0.46062042612601034</v>
      </c>
      <c r="V79" s="264">
        <f t="shared" si="23"/>
        <v>0.5345616906078281</v>
      </c>
      <c r="W79" s="264">
        <f t="shared" si="23"/>
        <v>0.2869402844990216</v>
      </c>
      <c r="X79" s="264">
        <f t="shared" si="23"/>
        <v>0.16628677260510866</v>
      </c>
      <c r="Y79" s="264">
        <f t="shared" si="23"/>
        <v>0.3742385320232058</v>
      </c>
      <c r="Z79" s="264">
        <f t="shared" si="23"/>
        <v>0.06664400435950298</v>
      </c>
      <c r="AA79" s="15"/>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row>
    <row r="80" spans="1:53" ht="12.75">
      <c r="A80" t="s">
        <v>96</v>
      </c>
      <c r="AA80" s="15"/>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row>
    <row r="81" spans="2:53" ht="12.75">
      <c r="B81" t="str">
        <f>B75</f>
        <v>'Diversion from N Fork Skokomish'</v>
      </c>
      <c r="C81" s="266">
        <f>C47/C57</f>
        <v>0.6608408804660022</v>
      </c>
      <c r="D81" s="266">
        <f aca="true" t="shared" si="25" ref="D81:Z85">D47/D57</f>
        <v>0.46789056375980803</v>
      </c>
      <c r="E81" s="266">
        <f t="shared" si="25"/>
        <v>0.43051665380706733</v>
      </c>
      <c r="F81" s="266">
        <f t="shared" si="25"/>
        <v>0.4174137528069824</v>
      </c>
      <c r="G81" s="266">
        <f t="shared" si="25"/>
        <v>0.333152904181105</v>
      </c>
      <c r="H81" s="266">
        <f t="shared" si="25"/>
        <v>0.3225235212184964</v>
      </c>
      <c r="I81" s="266">
        <f t="shared" si="25"/>
        <v>0.5662024240192897</v>
      </c>
      <c r="J81" s="266">
        <f t="shared" si="25"/>
        <v>0.20424070258891688</v>
      </c>
      <c r="K81" s="266">
        <f t="shared" si="25"/>
        <v>0.23150694275447975</v>
      </c>
      <c r="L81" s="266">
        <f t="shared" si="25"/>
        <v>0.13044101607970968</v>
      </c>
      <c r="M81" s="266">
        <f t="shared" si="25"/>
        <v>0.23682032506693926</v>
      </c>
      <c r="N81" s="266">
        <f t="shared" si="25"/>
        <v>0.14825487593973466</v>
      </c>
      <c r="O81" s="266">
        <f t="shared" si="25"/>
        <v>0.36443822954146093</v>
      </c>
      <c r="P81" s="266">
        <f t="shared" si="25"/>
        <v>0.370245976936217</v>
      </c>
      <c r="Q81" s="266">
        <f t="shared" si="25"/>
        <v>0.425770016547713</v>
      </c>
      <c r="R81" s="266">
        <f t="shared" si="25"/>
        <v>0.4921695893794869</v>
      </c>
      <c r="S81" s="266">
        <f t="shared" si="25"/>
        <v>0.2003392713717919</v>
      </c>
      <c r="T81" s="266">
        <f t="shared" si="25"/>
        <v>0.07599913614784738</v>
      </c>
      <c r="U81" s="266">
        <f t="shared" si="25"/>
        <v>0.10321285888707409</v>
      </c>
      <c r="V81" s="266">
        <f t="shared" si="25"/>
        <v>0.08828268241988925</v>
      </c>
      <c r="W81" s="266">
        <f t="shared" si="25"/>
        <v>0.23164786153399045</v>
      </c>
      <c r="X81" s="266">
        <f t="shared" si="25"/>
        <v>0.11336631008902631</v>
      </c>
      <c r="Y81" s="266">
        <f t="shared" si="25"/>
        <v>0.03694919458214577</v>
      </c>
      <c r="Z81" s="266">
        <f t="shared" si="25"/>
        <v>0.10494492058597336</v>
      </c>
      <c r="AA81" s="15"/>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row>
    <row r="82" spans="2:53" ht="12.75">
      <c r="B82" t="str">
        <f>B76</f>
        <v>'Skokomish River'</v>
      </c>
      <c r="C82" s="266">
        <f>C48/C58</f>
        <v>0.35843070515067105</v>
      </c>
      <c r="D82" s="266">
        <f aca="true" t="shared" si="26" ref="D82:R82">D48/D58</f>
        <v>0.29281788777847706</v>
      </c>
      <c r="E82" s="266">
        <f t="shared" si="26"/>
        <v>0.36522536896310365</v>
      </c>
      <c r="F82" s="266">
        <f t="shared" si="26"/>
        <v>0.25322502342157677</v>
      </c>
      <c r="G82" s="266">
        <f t="shared" si="26"/>
        <v>0.3396585742507352</v>
      </c>
      <c r="H82" s="266">
        <f t="shared" si="26"/>
        <v>0.9100504927444226</v>
      </c>
      <c r="I82" s="266">
        <f t="shared" si="26"/>
        <v>0.5714588967272249</v>
      </c>
      <c r="J82" s="266">
        <f t="shared" si="26"/>
        <v>0.671020690917814</v>
      </c>
      <c r="K82" s="266">
        <f t="shared" si="26"/>
        <v>0.3396533457242404</v>
      </c>
      <c r="L82" s="266">
        <f t="shared" si="26"/>
        <v>0.20341852937824936</v>
      </c>
      <c r="M82" s="266">
        <f t="shared" si="26"/>
        <v>0.39833951411386376</v>
      </c>
      <c r="N82" s="266">
        <f t="shared" si="26"/>
        <v>0.7560160189985727</v>
      </c>
      <c r="O82" s="266">
        <f t="shared" si="26"/>
        <v>0.3482450936873963</v>
      </c>
      <c r="P82" s="266">
        <f t="shared" si="26"/>
        <v>0.3588951334586475</v>
      </c>
      <c r="Q82" s="266">
        <f t="shared" si="26"/>
        <v>0.3476783672638842</v>
      </c>
      <c r="R82" s="266">
        <f t="shared" si="26"/>
        <v>0.36663458279154737</v>
      </c>
      <c r="S82" s="266">
        <f t="shared" si="25"/>
        <v>0.31950375937072045</v>
      </c>
      <c r="T82" s="266">
        <f t="shared" si="25"/>
        <v>0.6620193839567348</v>
      </c>
      <c r="U82" s="266">
        <f t="shared" si="25"/>
        <v>0.24288619060986624</v>
      </c>
      <c r="V82" s="266">
        <f t="shared" si="25"/>
        <v>0.5593262899588002</v>
      </c>
      <c r="W82" s="266">
        <f t="shared" si="25"/>
        <v>0.29769778816272074</v>
      </c>
      <c r="X82" s="266">
        <f t="shared" si="25"/>
        <v>0.3397380602822625</v>
      </c>
      <c r="Y82" s="266">
        <f t="shared" si="25"/>
        <v>0.8039775966341784</v>
      </c>
      <c r="Z82" s="266">
        <f t="shared" si="25"/>
        <v>0.4320339182418786</v>
      </c>
      <c r="AA82" s="15"/>
      <c r="AB82" s="164"/>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row>
    <row r="83" spans="2:53" ht="12.75">
      <c r="B83" t="str">
        <f>B77</f>
        <v>'Sampled Kitsap/Lowland Watersheds'</v>
      </c>
      <c r="C83" s="266">
        <f>C49/C59</f>
        <v>0.1504890695383796</v>
      </c>
      <c r="D83" s="266">
        <f t="shared" si="25"/>
        <v>0.19193748905201424</v>
      </c>
      <c r="E83" s="266">
        <f t="shared" si="25"/>
        <v>0.14321827475186147</v>
      </c>
      <c r="F83" s="266">
        <f t="shared" si="25"/>
        <v>0.1591695357429378</v>
      </c>
      <c r="G83" s="266">
        <f t="shared" si="25"/>
        <v>0.16359648245139488</v>
      </c>
      <c r="H83" s="266">
        <f t="shared" si="25"/>
        <v>0.24149948496752024</v>
      </c>
      <c r="I83" s="266">
        <f t="shared" si="25"/>
        <v>0.32093525396558054</v>
      </c>
      <c r="J83" s="266">
        <f t="shared" si="25"/>
        <v>0.3102152351949259</v>
      </c>
      <c r="K83" s="266">
        <f t="shared" si="25"/>
        <v>0.299405928137576</v>
      </c>
      <c r="L83" s="266">
        <f t="shared" si="25"/>
        <v>0.16204072585701726</v>
      </c>
      <c r="M83" s="266">
        <f t="shared" si="25"/>
        <v>0.1470642337472502</v>
      </c>
      <c r="N83" s="266">
        <f t="shared" si="25"/>
        <v>0.1347897373295073</v>
      </c>
      <c r="O83" s="266">
        <f t="shared" si="25"/>
        <v>0.15603618385745063</v>
      </c>
      <c r="P83" s="266">
        <f t="shared" si="25"/>
        <v>0.16211187890971407</v>
      </c>
      <c r="Q83" s="266">
        <f t="shared" si="25"/>
        <v>0.19358493070230537</v>
      </c>
      <c r="R83" s="266">
        <f t="shared" si="25"/>
        <v>0.16391323495362134</v>
      </c>
      <c r="S83" s="266">
        <f t="shared" si="25"/>
        <v>0.27206324160797396</v>
      </c>
      <c r="T83" s="266">
        <f t="shared" si="25"/>
        <v>0.37125097326323164</v>
      </c>
      <c r="U83" s="266">
        <f t="shared" si="25"/>
        <v>0.25424980467250025</v>
      </c>
      <c r="V83" s="266">
        <f t="shared" si="25"/>
        <v>0.3978780372461974</v>
      </c>
      <c r="W83" s="266">
        <f t="shared" si="25"/>
        <v>0.2212373334579306</v>
      </c>
      <c r="X83" s="266">
        <f t="shared" si="25"/>
        <v>0.14704799294329107</v>
      </c>
      <c r="Y83" s="266">
        <f t="shared" si="25"/>
        <v>0.11435588969511891</v>
      </c>
      <c r="Z83" s="266">
        <f t="shared" si="25"/>
        <v>0.03406706263865291</v>
      </c>
      <c r="AA83" s="15"/>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row>
    <row r="84" spans="2:53" ht="12.75">
      <c r="B84" t="str">
        <f>B78</f>
        <v>'Unsampled Kitsap/Lowland Watersheds'</v>
      </c>
      <c r="C84" s="266">
        <f>C50/C60</f>
        <v>0.1131756320119573</v>
      </c>
      <c r="D84" s="266">
        <f t="shared" si="25"/>
        <v>0.1236217450637134</v>
      </c>
      <c r="E84" s="266">
        <f t="shared" si="25"/>
        <v>0.13975474636251353</v>
      </c>
      <c r="F84" s="266">
        <f t="shared" si="25"/>
        <v>0.14685861387135563</v>
      </c>
      <c r="G84" s="266">
        <f t="shared" si="25"/>
        <v>0.14931737496937184</v>
      </c>
      <c r="H84" s="266">
        <f t="shared" si="25"/>
        <v>0.10921708035547646</v>
      </c>
      <c r="I84" s="266">
        <f t="shared" si="25"/>
        <v>0.25690224805247375</v>
      </c>
      <c r="J84" s="266">
        <f t="shared" si="25"/>
        <v>0.24207717411514523</v>
      </c>
      <c r="K84" s="266">
        <f t="shared" si="25"/>
        <v>0.32915118550423017</v>
      </c>
      <c r="L84" s="266">
        <f t="shared" si="25"/>
        <v>0.21417116015922394</v>
      </c>
      <c r="M84" s="266">
        <f t="shared" si="25"/>
        <v>0.09388132957014328</v>
      </c>
      <c r="N84" s="266">
        <f t="shared" si="25"/>
        <v>0.14317357076250542</v>
      </c>
      <c r="O84" s="266">
        <f t="shared" si="25"/>
        <v>0.1611104433142287</v>
      </c>
      <c r="P84" s="266">
        <f t="shared" si="25"/>
        <v>0.17134625719900337</v>
      </c>
      <c r="Q84" s="266">
        <f t="shared" si="25"/>
        <v>0.2492494532473405</v>
      </c>
      <c r="R84" s="266">
        <f t="shared" si="25"/>
        <v>0.1206229810633939</v>
      </c>
      <c r="S84" s="266">
        <f t="shared" si="25"/>
        <v>0.2686837431949775</v>
      </c>
      <c r="T84" s="266">
        <f t="shared" si="25"/>
        <v>0.60357802393829</v>
      </c>
      <c r="U84" s="266">
        <f t="shared" si="25"/>
        <v>0.30236803680222085</v>
      </c>
      <c r="V84" s="266">
        <f t="shared" si="25"/>
        <v>0.6740191730952898</v>
      </c>
      <c r="W84" s="266">
        <f t="shared" si="25"/>
        <v>0.22377531652424387</v>
      </c>
      <c r="X84" s="266">
        <f t="shared" si="25"/>
        <v>0.191152722915011</v>
      </c>
      <c r="Y84" s="266">
        <f t="shared" si="25"/>
        <v>0.09612327900016457</v>
      </c>
      <c r="Z84" s="266">
        <f t="shared" si="25"/>
        <v>0.04741884546641177</v>
      </c>
      <c r="AA84" s="15"/>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row>
    <row r="85" spans="2:53" ht="12.75">
      <c r="B85" t="str">
        <f>B79</f>
        <v>'Other Olympic Mountain Rivers'</v>
      </c>
      <c r="C85" s="266">
        <f>C51/C61</f>
        <v>0.23617895152538693</v>
      </c>
      <c r="D85" s="266">
        <f t="shared" si="25"/>
        <v>0.13870833597690493</v>
      </c>
      <c r="E85" s="266">
        <f t="shared" si="25"/>
        <v>0.10791921160143618</v>
      </c>
      <c r="F85" s="266">
        <f t="shared" si="25"/>
        <v>0.16354202532188275</v>
      </c>
      <c r="G85" s="266">
        <f t="shared" si="25"/>
        <v>0.1525379182480374</v>
      </c>
      <c r="H85" s="266">
        <f t="shared" si="25"/>
        <v>0.21801177996134688</v>
      </c>
      <c r="I85" s="266">
        <f t="shared" si="25"/>
        <v>0.40157014771602567</v>
      </c>
      <c r="J85" s="266">
        <f t="shared" si="25"/>
        <v>0.39157938728293346</v>
      </c>
      <c r="K85" s="266">
        <f t="shared" si="25"/>
        <v>0.37027193791587787</v>
      </c>
      <c r="L85" s="266">
        <f t="shared" si="25"/>
        <v>0.23427413500365832</v>
      </c>
      <c r="M85" s="266">
        <f t="shared" si="25"/>
        <v>0.26691763015639053</v>
      </c>
      <c r="N85" s="266">
        <f t="shared" si="25"/>
        <v>0.2048925375270476</v>
      </c>
      <c r="O85" s="266">
        <f t="shared" si="25"/>
        <v>0.17252133979732232</v>
      </c>
      <c r="P85" s="266">
        <f t="shared" si="25"/>
        <v>0.18831082552059597</v>
      </c>
      <c r="Q85" s="266">
        <f t="shared" si="25"/>
        <v>0.21581618377821696</v>
      </c>
      <c r="R85" s="266">
        <f t="shared" si="25"/>
        <v>0.17830700879652717</v>
      </c>
      <c r="S85" s="266">
        <f t="shared" si="25"/>
        <v>0.36815826966838966</v>
      </c>
      <c r="T85" s="266">
        <f t="shared" si="25"/>
        <v>0.312715746210767</v>
      </c>
      <c r="U85" s="266">
        <f t="shared" si="25"/>
        <v>0.5026462539266979</v>
      </c>
      <c r="V85" s="266">
        <f t="shared" si="25"/>
        <v>0.5508909764733126</v>
      </c>
      <c r="W85" s="266">
        <f t="shared" si="25"/>
        <v>0.35646828083807575</v>
      </c>
      <c r="X85" s="266">
        <f t="shared" si="25"/>
        <v>0.39122220110441214</v>
      </c>
      <c r="Y85" s="266">
        <f t="shared" si="25"/>
        <v>0.44367781579657056</v>
      </c>
      <c r="Z85" s="266">
        <f t="shared" si="25"/>
        <v>0.07060362944580069</v>
      </c>
      <c r="AA85" s="15"/>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row>
    <row r="86" spans="27:53" ht="12.75">
      <c r="AA86" s="15"/>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row>
    <row r="87" spans="3:53" ht="12.75">
      <c r="C87" s="164">
        <f>AVERAGE(C75:Z75)</f>
        <v>0.3359725336772829</v>
      </c>
      <c r="AA87" s="15"/>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row>
    <row r="88" spans="3:53" ht="12.75">
      <c r="C88" s="164">
        <f>AVERAGE(C76:Z76)</f>
        <v>0.30210176661628724</v>
      </c>
      <c r="AA88" s="15"/>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row>
    <row r="89" spans="3:53" ht="12.75">
      <c r="C89" s="164">
        <f>AVERAGE(C77:Z77)</f>
        <v>0.16055301615227482</v>
      </c>
      <c r="AA89" s="15"/>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row>
    <row r="90" spans="3:53" ht="12.75">
      <c r="C90" s="164">
        <f>AVERAGE(C78:Z78)</f>
        <v>0.11235292629014738</v>
      </c>
      <c r="AA90" s="15"/>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row>
    <row r="91" spans="3:53" ht="12.75">
      <c r="C91" s="164">
        <f>AVERAGE(C79:Z79)</f>
        <v>0.23920184467596942</v>
      </c>
      <c r="AA91" s="15"/>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row>
    <row r="92" spans="27:53" ht="12.75">
      <c r="AA92" s="15"/>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row>
    <row r="93" spans="27:53" ht="12.75">
      <c r="AA93" s="15"/>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row>
    <row r="94" spans="27:53" ht="12.75">
      <c r="AA94" s="15"/>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row>
    <row r="95" spans="27:53" ht="12.75">
      <c r="AA95" s="15"/>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row>
    <row r="96" spans="27:53" ht="12.75">
      <c r="AA96" s="15"/>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row>
    <row r="97" spans="27:53" ht="12.75">
      <c r="AA97" s="15"/>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row>
    <row r="98" spans="2:53" ht="17.25">
      <c r="B98" t="s">
        <v>744</v>
      </c>
      <c r="C98" s="135" t="s">
        <v>142</v>
      </c>
      <c r="D98" s="135" t="s">
        <v>164</v>
      </c>
      <c r="E98" s="135" t="s">
        <v>143</v>
      </c>
      <c r="F98" s="135" t="s">
        <v>144</v>
      </c>
      <c r="G98" s="135" t="s">
        <v>145</v>
      </c>
      <c r="H98" s="135" t="s">
        <v>146</v>
      </c>
      <c r="I98" s="135" t="s">
        <v>165</v>
      </c>
      <c r="J98" s="135" t="s">
        <v>754</v>
      </c>
      <c r="K98" s="135" t="s">
        <v>743</v>
      </c>
      <c r="AA98" s="15"/>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row>
    <row r="99" spans="2:53" ht="17.25">
      <c r="B99" s="135" t="s">
        <v>142</v>
      </c>
      <c r="C99">
        <v>1</v>
      </c>
      <c r="D99">
        <v>-0.290275874821982</v>
      </c>
      <c r="E99">
        <v>-0.21873780133549</v>
      </c>
      <c r="F99">
        <v>-0.27880580310784</v>
      </c>
      <c r="G99">
        <v>0.400104066292276</v>
      </c>
      <c r="H99">
        <v>0.537607372717457</v>
      </c>
      <c r="I99">
        <v>-0.355716506319874</v>
      </c>
      <c r="J99">
        <v>-0.016871203354995</v>
      </c>
      <c r="K99">
        <v>-0.135779147362262</v>
      </c>
      <c r="AA99" s="15"/>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row>
    <row r="100" spans="2:53" ht="17.25">
      <c r="B100" s="135" t="s">
        <v>164</v>
      </c>
      <c r="C100">
        <v>-0.290275874821982</v>
      </c>
      <c r="D100">
        <v>1</v>
      </c>
      <c r="E100">
        <v>0.826517701759654</v>
      </c>
      <c r="F100">
        <v>0.221073238018907</v>
      </c>
      <c r="G100">
        <v>-0.033435161480995</v>
      </c>
      <c r="H100">
        <v>0.002759043354944</v>
      </c>
      <c r="I100">
        <v>-0.161422229483106</v>
      </c>
      <c r="J100">
        <v>0.288591586494668</v>
      </c>
      <c r="K100">
        <v>0.276701937768826</v>
      </c>
      <c r="AA100" s="15"/>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row>
    <row r="101" spans="2:53" ht="17.25">
      <c r="B101" s="135" t="s">
        <v>143</v>
      </c>
      <c r="C101">
        <v>-0.21873780133549</v>
      </c>
      <c r="D101">
        <v>0.826517701759654</v>
      </c>
      <c r="E101">
        <v>1</v>
      </c>
      <c r="F101">
        <v>0.575286031066559</v>
      </c>
      <c r="G101">
        <v>0.332389800625394</v>
      </c>
      <c r="H101">
        <v>0.191871956413537</v>
      </c>
      <c r="I101">
        <v>-0.439384564323263</v>
      </c>
      <c r="J101">
        <v>0.519199212925803</v>
      </c>
      <c r="K101">
        <v>0.484557364292656</v>
      </c>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row>
    <row r="102" spans="2:53" ht="17.25">
      <c r="B102" s="135" t="s">
        <v>144</v>
      </c>
      <c r="C102">
        <v>-0.27880580310784</v>
      </c>
      <c r="D102">
        <v>0.221073238018907</v>
      </c>
      <c r="E102">
        <v>0.575286031066559</v>
      </c>
      <c r="F102">
        <v>1</v>
      </c>
      <c r="G102">
        <v>0.228366240109633</v>
      </c>
      <c r="H102">
        <v>0.377131233071721</v>
      </c>
      <c r="I102">
        <v>-0.370053645956783</v>
      </c>
      <c r="J102">
        <v>0.41052137103303</v>
      </c>
      <c r="K102">
        <v>0.685109992591228</v>
      </c>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row>
    <row r="103" spans="2:53" ht="17.25">
      <c r="B103" s="135" t="s">
        <v>145</v>
      </c>
      <c r="C103">
        <v>0.400104066292276</v>
      </c>
      <c r="D103">
        <v>-0.033435161480995</v>
      </c>
      <c r="E103">
        <v>0.332389800625394</v>
      </c>
      <c r="F103">
        <v>0.228366240109633</v>
      </c>
      <c r="G103">
        <v>1</v>
      </c>
      <c r="H103">
        <v>0.247089866564298</v>
      </c>
      <c r="I103">
        <v>-0.493294733645823</v>
      </c>
      <c r="J103">
        <v>0.513399487806892</v>
      </c>
      <c r="K103">
        <v>0.030743479968415</v>
      </c>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row>
    <row r="104" spans="2:53" ht="17.25">
      <c r="B104" s="135" t="s">
        <v>146</v>
      </c>
      <c r="C104">
        <v>0.537607372717457</v>
      </c>
      <c r="D104">
        <v>0.002759043354944</v>
      </c>
      <c r="E104">
        <v>0.191871956413537</v>
      </c>
      <c r="F104">
        <v>0.377131233071721</v>
      </c>
      <c r="G104">
        <v>0.247089866564298</v>
      </c>
      <c r="H104">
        <v>1</v>
      </c>
      <c r="I104">
        <v>-0.305790468418005</v>
      </c>
      <c r="J104">
        <v>0.139426599197639</v>
      </c>
      <c r="K104">
        <v>0.444426739407245</v>
      </c>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row>
    <row r="105" spans="2:53" ht="17.25">
      <c r="B105" s="135" t="s">
        <v>165</v>
      </c>
      <c r="C105">
        <v>-0.355716506319874</v>
      </c>
      <c r="D105">
        <v>-0.161422229483106</v>
      </c>
      <c r="E105">
        <v>-0.439384564323263</v>
      </c>
      <c r="F105">
        <v>-0.370053645956783</v>
      </c>
      <c r="G105">
        <v>-0.493294733645823</v>
      </c>
      <c r="H105">
        <v>-0.305790468418005</v>
      </c>
      <c r="I105">
        <v>1</v>
      </c>
      <c r="J105">
        <v>-0.362730107680888</v>
      </c>
      <c r="K105">
        <v>-0.359888916510866</v>
      </c>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row>
    <row r="106" spans="2:11" ht="17.25">
      <c r="B106" s="135" t="s">
        <v>754</v>
      </c>
      <c r="C106">
        <v>-0.016871203354995</v>
      </c>
      <c r="D106">
        <v>0.288591586494668</v>
      </c>
      <c r="E106">
        <v>0.519199212925803</v>
      </c>
      <c r="F106">
        <v>0.41052137103303</v>
      </c>
      <c r="G106">
        <v>0.513399487806892</v>
      </c>
      <c r="H106">
        <v>0.139426599197639</v>
      </c>
      <c r="I106">
        <v>-0.362730107680888</v>
      </c>
      <c r="J106">
        <v>1</v>
      </c>
      <c r="K106">
        <v>0.113893927808766</v>
      </c>
    </row>
    <row r="107" spans="2:11" ht="17.25">
      <c r="B107" s="135" t="s">
        <v>743</v>
      </c>
      <c r="C107">
        <v>-0.135779147362262</v>
      </c>
      <c r="D107">
        <v>0.276701937768826</v>
      </c>
      <c r="E107">
        <v>0.484557364292656</v>
      </c>
      <c r="F107">
        <v>0.685109992591228</v>
      </c>
      <c r="G107">
        <v>0.030743479968415</v>
      </c>
      <c r="H107">
        <v>0.444426739407245</v>
      </c>
      <c r="I107">
        <v>-0.359888916510866</v>
      </c>
      <c r="J107">
        <v>0.113893927808766</v>
      </c>
      <c r="K107">
        <v>1</v>
      </c>
    </row>
    <row r="109" spans="2:11" ht="17.25">
      <c r="B109" t="s">
        <v>745</v>
      </c>
      <c r="C109" s="135" t="s">
        <v>142</v>
      </c>
      <c r="D109" s="135" t="s">
        <v>164</v>
      </c>
      <c r="E109" s="135" t="s">
        <v>143</v>
      </c>
      <c r="F109" s="135" t="s">
        <v>144</v>
      </c>
      <c r="G109" s="135" t="s">
        <v>145</v>
      </c>
      <c r="H109" s="135" t="s">
        <v>146</v>
      </c>
      <c r="I109" s="135" t="s">
        <v>165</v>
      </c>
      <c r="J109" s="135" t="s">
        <v>754</v>
      </c>
      <c r="K109" s="135" t="s">
        <v>743</v>
      </c>
    </row>
    <row r="110" spans="2:11" ht="17.25">
      <c r="B110" s="135" t="s">
        <v>142</v>
      </c>
      <c r="C110">
        <v>1</v>
      </c>
      <c r="D110">
        <v>0.168827294484539</v>
      </c>
      <c r="E110">
        <v>0.304472408027528</v>
      </c>
      <c r="F110">
        <v>0.187072218362966</v>
      </c>
      <c r="G110">
        <v>0.052712567363491</v>
      </c>
      <c r="H110">
        <v>0.006740861688152</v>
      </c>
      <c r="I110">
        <v>0.088020772694012</v>
      </c>
      <c r="J110">
        <v>0.937633401375977</v>
      </c>
      <c r="K110">
        <v>0.526988426206793</v>
      </c>
    </row>
    <row r="111" spans="2:11" ht="17.25">
      <c r="B111" s="135" t="s">
        <v>164</v>
      </c>
      <c r="C111">
        <v>0.168827294484539</v>
      </c>
      <c r="D111">
        <v>1</v>
      </c>
      <c r="E111">
        <v>6.45892857E-07</v>
      </c>
      <c r="F111">
        <v>0.299208359713581</v>
      </c>
      <c r="G111">
        <v>0.876744903265456</v>
      </c>
      <c r="H111">
        <v>0.989791417622665</v>
      </c>
      <c r="I111">
        <v>0.451118896287747</v>
      </c>
      <c r="J111">
        <v>0.171425486476939</v>
      </c>
      <c r="K111">
        <v>0.19056009431596</v>
      </c>
    </row>
    <row r="112" spans="2:11" ht="17.25">
      <c r="B112" s="135" t="s">
        <v>143</v>
      </c>
      <c r="C112">
        <v>0.304472408027528</v>
      </c>
      <c r="D112">
        <v>6.45892857E-07</v>
      </c>
      <c r="E112">
        <v>1</v>
      </c>
      <c r="F112">
        <v>0.003270712396929</v>
      </c>
      <c r="G112">
        <v>0.112524854904175</v>
      </c>
      <c r="H112">
        <v>0.369087848370054</v>
      </c>
      <c r="I112">
        <v>0.031693398278041</v>
      </c>
      <c r="J112">
        <v>0.009325088313216</v>
      </c>
      <c r="K112">
        <v>0.016411855318353</v>
      </c>
    </row>
    <row r="113" spans="2:11" ht="17.25">
      <c r="B113" s="135" t="s">
        <v>144</v>
      </c>
      <c r="C113">
        <v>0.187072218362966</v>
      </c>
      <c r="D113">
        <v>0.299208359713581</v>
      </c>
      <c r="E113">
        <v>0.003270712396929</v>
      </c>
      <c r="F113">
        <v>1</v>
      </c>
      <c r="G113">
        <v>0.283136066472093</v>
      </c>
      <c r="H113">
        <v>0.069265813391709</v>
      </c>
      <c r="I113">
        <v>0.075090766423645</v>
      </c>
      <c r="J113">
        <v>0.046304769069017</v>
      </c>
      <c r="K113">
        <v>0.000220842086279</v>
      </c>
    </row>
    <row r="114" spans="2:11" ht="17.25">
      <c r="B114" s="135" t="s">
        <v>145</v>
      </c>
      <c r="C114">
        <v>0.052712567363491</v>
      </c>
      <c r="D114">
        <v>0.876744903265456</v>
      </c>
      <c r="E114">
        <v>0.112524854904175</v>
      </c>
      <c r="F114">
        <v>0.283136066472093</v>
      </c>
      <c r="G114">
        <v>1</v>
      </c>
      <c r="H114">
        <v>0.244412967244906</v>
      </c>
      <c r="I114">
        <v>0.014306447015053</v>
      </c>
      <c r="J114">
        <v>0.010291881354295</v>
      </c>
      <c r="K114">
        <v>0.886602355636514</v>
      </c>
    </row>
    <row r="115" spans="2:11" ht="17.25">
      <c r="B115" s="135" t="s">
        <v>146</v>
      </c>
      <c r="C115">
        <v>0.006740861688152</v>
      </c>
      <c r="D115">
        <v>0.989791417622665</v>
      </c>
      <c r="E115">
        <v>0.369087848370054</v>
      </c>
      <c r="F115">
        <v>0.069265813391709</v>
      </c>
      <c r="G115">
        <v>0.244412967244906</v>
      </c>
      <c r="H115">
        <v>1</v>
      </c>
      <c r="I115">
        <v>0.146178021372639</v>
      </c>
      <c r="J115">
        <v>0.515840756119072</v>
      </c>
      <c r="K115">
        <v>0.029568593434386</v>
      </c>
    </row>
    <row r="116" spans="2:11" ht="17.25">
      <c r="B116" s="135" t="s">
        <v>165</v>
      </c>
      <c r="C116">
        <v>0.088020772694012</v>
      </c>
      <c r="D116">
        <v>0.451118896287747</v>
      </c>
      <c r="E116">
        <v>0.031693398278041</v>
      </c>
      <c r="F116">
        <v>0.075090766423645</v>
      </c>
      <c r="G116">
        <v>0.014306447015053</v>
      </c>
      <c r="H116">
        <v>0.146178021372639</v>
      </c>
      <c r="I116">
        <v>1</v>
      </c>
      <c r="J116">
        <v>0.08150196340763</v>
      </c>
      <c r="K116">
        <v>0.08409732207096</v>
      </c>
    </row>
    <row r="117" spans="2:11" ht="17.25">
      <c r="B117" s="135" t="s">
        <v>754</v>
      </c>
      <c r="C117">
        <v>0.937633401375977</v>
      </c>
      <c r="D117">
        <v>0.171425486476939</v>
      </c>
      <c r="E117">
        <v>0.009325088313216</v>
      </c>
      <c r="F117">
        <v>0.046304769069017</v>
      </c>
      <c r="G117">
        <v>0.010291881354295</v>
      </c>
      <c r="H117">
        <v>0.515840756119072</v>
      </c>
      <c r="I117">
        <v>0.08150196340763</v>
      </c>
      <c r="J117">
        <v>1</v>
      </c>
      <c r="K117">
        <v>0.596176122328954</v>
      </c>
    </row>
    <row r="118" spans="2:11" ht="17.25">
      <c r="B118" s="135" t="s">
        <v>743</v>
      </c>
      <c r="C118">
        <v>0.526988426206793</v>
      </c>
      <c r="D118">
        <v>0.19056009431596</v>
      </c>
      <c r="E118">
        <v>0.016411855318353</v>
      </c>
      <c r="F118">
        <v>0.000220842086279</v>
      </c>
      <c r="G118">
        <v>0.886602355636514</v>
      </c>
      <c r="H118">
        <v>0.029568593434386</v>
      </c>
      <c r="I118">
        <v>0.08409732207096</v>
      </c>
      <c r="J118">
        <v>0.596176122328954</v>
      </c>
      <c r="K118">
        <v>1</v>
      </c>
    </row>
    <row r="120" spans="2:11" ht="17.25">
      <c r="B120" t="s">
        <v>746</v>
      </c>
      <c r="C120" s="135" t="s">
        <v>142</v>
      </c>
      <c r="D120" s="135" t="s">
        <v>164</v>
      </c>
      <c r="E120" s="135" t="s">
        <v>143</v>
      </c>
      <c r="F120" s="135" t="s">
        <v>144</v>
      </c>
      <c r="G120" s="135" t="s">
        <v>145</v>
      </c>
      <c r="H120" s="135" t="s">
        <v>146</v>
      </c>
      <c r="I120" s="135" t="s">
        <v>165</v>
      </c>
      <c r="J120" s="135" t="s">
        <v>754</v>
      </c>
      <c r="K120" s="135" t="s">
        <v>743</v>
      </c>
    </row>
    <row r="121" spans="2:11" ht="17.25">
      <c r="B121" s="135" t="s">
        <v>142</v>
      </c>
      <c r="C121">
        <v>1</v>
      </c>
      <c r="D121">
        <v>0.08411908100744</v>
      </c>
      <c r="E121">
        <v>0.222700653919007</v>
      </c>
      <c r="F121">
        <v>0.111908847489966</v>
      </c>
      <c r="G121">
        <v>0.002484660804579</v>
      </c>
      <c r="H121">
        <v>0.545870515610966</v>
      </c>
      <c r="I121">
        <v>0.441598571177951</v>
      </c>
      <c r="J121">
        <v>0.038758839115326</v>
      </c>
      <c r="K121">
        <v>0.216625407004814</v>
      </c>
    </row>
    <row r="122" spans="2:11" ht="17.25">
      <c r="B122" s="135" t="s">
        <v>164</v>
      </c>
      <c r="C122">
        <v>0.08411908100744</v>
      </c>
      <c r="D122">
        <v>1</v>
      </c>
      <c r="E122">
        <v>0.426505820113618</v>
      </c>
      <c r="F122">
        <v>-0.488427170848209</v>
      </c>
      <c r="G122">
        <v>-0.271072451992677</v>
      </c>
      <c r="H122">
        <v>-0.171140494859857</v>
      </c>
      <c r="I122">
        <v>0.108518516010539</v>
      </c>
      <c r="J122">
        <v>0.296871966282362</v>
      </c>
      <c r="K122">
        <v>-0.245944982109409</v>
      </c>
    </row>
    <row r="123" spans="2:11" ht="17.25">
      <c r="B123" s="135" t="s">
        <v>143</v>
      </c>
      <c r="C123">
        <v>0.222700653919007</v>
      </c>
      <c r="D123">
        <v>0.426505820113618</v>
      </c>
      <c r="E123">
        <v>1</v>
      </c>
      <c r="F123">
        <v>0.567377090440665</v>
      </c>
      <c r="G123">
        <v>0.63596776752471</v>
      </c>
      <c r="H123">
        <v>-0.172655358997991</v>
      </c>
      <c r="I123">
        <v>0.156697969065552</v>
      </c>
      <c r="J123">
        <v>0.228369343794722</v>
      </c>
      <c r="K123">
        <v>0.324486903088614</v>
      </c>
    </row>
    <row r="124" spans="2:11" ht="17.25">
      <c r="B124" s="135" t="s">
        <v>144</v>
      </c>
      <c r="C124">
        <v>0.111908847489966</v>
      </c>
      <c r="D124">
        <v>-0.488427170848209</v>
      </c>
      <c r="E124">
        <v>0.567377090440665</v>
      </c>
      <c r="F124">
        <v>1</v>
      </c>
      <c r="G124">
        <v>0.796055892681483</v>
      </c>
      <c r="H124">
        <v>-0.089301529969305</v>
      </c>
      <c r="I124">
        <v>0.050971415223271</v>
      </c>
      <c r="J124">
        <v>-0.062256295116386</v>
      </c>
      <c r="K124">
        <v>0.561113988322772</v>
      </c>
    </row>
    <row r="125" spans="2:11" ht="17.25">
      <c r="B125" s="135" t="s">
        <v>145</v>
      </c>
      <c r="C125">
        <v>0.002484660804579</v>
      </c>
      <c r="D125">
        <v>-0.271072451992677</v>
      </c>
      <c r="E125">
        <v>0.63596776752471</v>
      </c>
      <c r="F125">
        <v>0.796055892681483</v>
      </c>
      <c r="G125">
        <v>1</v>
      </c>
      <c r="H125">
        <v>-0.155978903418221</v>
      </c>
      <c r="I125">
        <v>0.078499438569407</v>
      </c>
      <c r="J125">
        <v>0.06273465919278</v>
      </c>
      <c r="K125">
        <v>0.311678384239074</v>
      </c>
    </row>
    <row r="126" spans="2:11" ht="17.25">
      <c r="B126" s="135" t="s">
        <v>146</v>
      </c>
      <c r="C126">
        <v>0.545870515610966</v>
      </c>
      <c r="D126">
        <v>-0.171140494859857</v>
      </c>
      <c r="E126">
        <v>-0.172655358997991</v>
      </c>
      <c r="F126">
        <v>-0.089301529969305</v>
      </c>
      <c r="G126">
        <v>-0.155978903418221</v>
      </c>
      <c r="H126">
        <v>1</v>
      </c>
      <c r="I126">
        <v>-0.138703073554973</v>
      </c>
      <c r="J126">
        <v>-0.189660207443487</v>
      </c>
      <c r="K126">
        <v>0.102407331522443</v>
      </c>
    </row>
    <row r="127" spans="2:11" ht="17.25">
      <c r="B127" s="135" t="s">
        <v>165</v>
      </c>
      <c r="C127">
        <v>0.441598571177951</v>
      </c>
      <c r="D127">
        <v>0.108518516010539</v>
      </c>
      <c r="E127">
        <v>0.156697969065552</v>
      </c>
      <c r="F127">
        <v>0.050971415223271</v>
      </c>
      <c r="G127">
        <v>0.078499438569407</v>
      </c>
      <c r="H127">
        <v>-0.138703073554973</v>
      </c>
      <c r="I127">
        <v>1</v>
      </c>
      <c r="J127">
        <v>0.143475531614978</v>
      </c>
      <c r="K127">
        <v>0.026419654974147</v>
      </c>
    </row>
    <row r="128" spans="2:11" ht="17.25">
      <c r="B128" s="135" t="s">
        <v>754</v>
      </c>
      <c r="C128">
        <v>0.038758839115326</v>
      </c>
      <c r="D128">
        <v>0.296871966282362</v>
      </c>
      <c r="E128">
        <v>0.228369343794722</v>
      </c>
      <c r="F128">
        <v>-0.062256295116386</v>
      </c>
      <c r="G128">
        <v>0.06273465919278</v>
      </c>
      <c r="H128">
        <v>-0.189660207443487</v>
      </c>
      <c r="I128">
        <v>0.143475531614978</v>
      </c>
      <c r="J128">
        <v>1</v>
      </c>
      <c r="K128">
        <v>-0.348796464501067</v>
      </c>
    </row>
    <row r="129" spans="2:11" ht="17.25">
      <c r="B129" s="135" t="s">
        <v>743</v>
      </c>
      <c r="C129">
        <v>0.216625407004814</v>
      </c>
      <c r="D129">
        <v>-0.245944982109409</v>
      </c>
      <c r="E129">
        <v>0.324486903088614</v>
      </c>
      <c r="F129">
        <v>0.561113988322772</v>
      </c>
      <c r="G129">
        <v>0.311678384239074</v>
      </c>
      <c r="H129">
        <v>0.102407331522443</v>
      </c>
      <c r="I129">
        <v>0.026419654974147</v>
      </c>
      <c r="J129">
        <v>-0.348796464501067</v>
      </c>
      <c r="K129">
        <v>1</v>
      </c>
    </row>
    <row r="131" spans="2:11" ht="17.25">
      <c r="B131" t="s">
        <v>747</v>
      </c>
      <c r="C131" s="135" t="s">
        <v>142</v>
      </c>
      <c r="D131" s="135" t="s">
        <v>164</v>
      </c>
      <c r="E131" s="135" t="s">
        <v>143</v>
      </c>
      <c r="F131" s="135" t="s">
        <v>144</v>
      </c>
      <c r="G131" s="135" t="s">
        <v>145</v>
      </c>
      <c r="H131" s="135" t="s">
        <v>146</v>
      </c>
      <c r="I131" s="135" t="s">
        <v>165</v>
      </c>
      <c r="J131" s="135" t="s">
        <v>754</v>
      </c>
      <c r="K131" s="135" t="s">
        <v>743</v>
      </c>
    </row>
    <row r="132" spans="2:11" ht="17.25">
      <c r="B132" s="135" t="s">
        <v>142</v>
      </c>
      <c r="C132">
        <v>1</v>
      </c>
      <c r="D132">
        <v>0.695950819509379</v>
      </c>
      <c r="E132">
        <v>0.295573784314959</v>
      </c>
      <c r="F132">
        <v>0.602636839738791</v>
      </c>
      <c r="G132">
        <v>0.990806601097987</v>
      </c>
      <c r="H132">
        <v>0.005792819596549</v>
      </c>
      <c r="I132">
        <v>0.030745901382766</v>
      </c>
      <c r="J132">
        <v>0.857302178220149</v>
      </c>
      <c r="K132">
        <v>0.309282635619719</v>
      </c>
    </row>
    <row r="133" spans="2:11" ht="17.25">
      <c r="B133" s="135" t="s">
        <v>164</v>
      </c>
      <c r="C133">
        <v>0.695950819509379</v>
      </c>
      <c r="D133">
        <v>1</v>
      </c>
      <c r="E133">
        <v>0.037675728760705</v>
      </c>
      <c r="F133">
        <v>0.015450163028846</v>
      </c>
      <c r="G133">
        <v>0.200110966586035</v>
      </c>
      <c r="H133">
        <v>0.423953378724157</v>
      </c>
      <c r="I133">
        <v>0.613738292159506</v>
      </c>
      <c r="J133">
        <v>0.158916776045456</v>
      </c>
      <c r="K133">
        <v>0.246676023487653</v>
      </c>
    </row>
    <row r="134" spans="2:11" ht="17.25">
      <c r="B134" s="135" t="s">
        <v>143</v>
      </c>
      <c r="C134">
        <v>0.295573784314959</v>
      </c>
      <c r="D134">
        <v>0.037675728760705</v>
      </c>
      <c r="E134">
        <v>1</v>
      </c>
      <c r="F134">
        <v>0.003833687467793</v>
      </c>
      <c r="G134">
        <v>0.000837091007191</v>
      </c>
      <c r="H134">
        <v>0.419800705009816</v>
      </c>
      <c r="I134">
        <v>0.464647609617662</v>
      </c>
      <c r="J134">
        <v>0.283129344708139</v>
      </c>
      <c r="K134">
        <v>0.121863997416293</v>
      </c>
    </row>
    <row r="135" spans="2:11" ht="17.25">
      <c r="B135" s="135" t="s">
        <v>144</v>
      </c>
      <c r="C135">
        <v>0.602636839738791</v>
      </c>
      <c r="D135">
        <v>0.015450163028846</v>
      </c>
      <c r="E135">
        <v>0.003833687467793</v>
      </c>
      <c r="F135">
        <v>1</v>
      </c>
      <c r="G135">
        <v>3.288927241E-06</v>
      </c>
      <c r="H135">
        <v>0.67816933829885</v>
      </c>
      <c r="I135">
        <v>0.813020664407246</v>
      </c>
      <c r="J135">
        <v>0.772588288485681</v>
      </c>
      <c r="K135">
        <v>0.004335601507243</v>
      </c>
    </row>
    <row r="136" spans="2:11" ht="17.25">
      <c r="B136" s="135" t="s">
        <v>145</v>
      </c>
      <c r="C136">
        <v>0.990806601097987</v>
      </c>
      <c r="D136">
        <v>0.200110966586035</v>
      </c>
      <c r="E136">
        <v>0.000837091007191</v>
      </c>
      <c r="F136">
        <v>3.288927241E-06</v>
      </c>
      <c r="G136">
        <v>1</v>
      </c>
      <c r="H136">
        <v>0.466725002413482</v>
      </c>
      <c r="I136">
        <v>0.715409307914003</v>
      </c>
      <c r="J136">
        <v>0.770886204328138</v>
      </c>
      <c r="K136">
        <v>0.138176795856355</v>
      </c>
    </row>
    <row r="137" spans="2:11" ht="17.25">
      <c r="B137" s="135" t="s">
        <v>146</v>
      </c>
      <c r="C137">
        <v>0.005792819596549</v>
      </c>
      <c r="D137">
        <v>0.423953378724157</v>
      </c>
      <c r="E137">
        <v>0.419800705009816</v>
      </c>
      <c r="F137">
        <v>0.67816933829885</v>
      </c>
      <c r="G137">
        <v>0.466725002413482</v>
      </c>
      <c r="H137">
        <v>1</v>
      </c>
      <c r="I137">
        <v>0.518042975852577</v>
      </c>
      <c r="J137">
        <v>0.374736678411102</v>
      </c>
      <c r="K137">
        <v>0.633957200151709</v>
      </c>
    </row>
    <row r="138" spans="2:11" ht="17.25">
      <c r="B138" s="135" t="s">
        <v>165</v>
      </c>
      <c r="C138">
        <v>0.030745901382766</v>
      </c>
      <c r="D138">
        <v>0.613738292159506</v>
      </c>
      <c r="E138">
        <v>0.464647609617662</v>
      </c>
      <c r="F138">
        <v>0.813020664407246</v>
      </c>
      <c r="G138">
        <v>0.715409307914003</v>
      </c>
      <c r="H138">
        <v>0.518042975852577</v>
      </c>
      <c r="I138">
        <v>1</v>
      </c>
      <c r="J138">
        <v>0.503600848349345</v>
      </c>
      <c r="K138">
        <v>0.902470646072462</v>
      </c>
    </row>
    <row r="139" spans="2:11" ht="17.25">
      <c r="B139" s="135" t="s">
        <v>754</v>
      </c>
      <c r="C139">
        <v>0.857302178220149</v>
      </c>
      <c r="D139">
        <v>0.158916776045456</v>
      </c>
      <c r="E139">
        <v>0.283129344708139</v>
      </c>
      <c r="F139">
        <v>0.772588288485681</v>
      </c>
      <c r="G139">
        <v>0.770886204328138</v>
      </c>
      <c r="H139">
        <v>0.374736678411102</v>
      </c>
      <c r="I139">
        <v>0.503600848349345</v>
      </c>
      <c r="J139">
        <v>1</v>
      </c>
      <c r="K139">
        <v>0.094828133654993</v>
      </c>
    </row>
    <row r="140" spans="2:11" ht="17.25">
      <c r="B140" s="135" t="s">
        <v>743</v>
      </c>
      <c r="C140">
        <v>0.309282635619719</v>
      </c>
      <c r="D140">
        <v>0.246676023487653</v>
      </c>
      <c r="E140">
        <v>0.121863997416293</v>
      </c>
      <c r="F140">
        <v>0.004335601507243</v>
      </c>
      <c r="G140">
        <v>0.138176795856355</v>
      </c>
      <c r="H140">
        <v>0.633957200151709</v>
      </c>
      <c r="I140">
        <v>0.902470646072462</v>
      </c>
      <c r="J140">
        <v>0.094828133654993</v>
      </c>
      <c r="K140">
        <v>1</v>
      </c>
    </row>
    <row r="143" spans="2:11" ht="17.25">
      <c r="B143" t="s">
        <v>748</v>
      </c>
      <c r="C143" s="135" t="s">
        <v>142</v>
      </c>
      <c r="D143" s="135" t="s">
        <v>164</v>
      </c>
      <c r="E143" s="135" t="s">
        <v>143</v>
      </c>
      <c r="F143" s="135" t="s">
        <v>144</v>
      </c>
      <c r="G143" s="135" t="s">
        <v>145</v>
      </c>
      <c r="H143" s="135" t="s">
        <v>146</v>
      </c>
      <c r="I143" s="135" t="s">
        <v>165</v>
      </c>
      <c r="J143" s="135" t="s">
        <v>754</v>
      </c>
      <c r="K143" s="135" t="s">
        <v>743</v>
      </c>
    </row>
    <row r="144" spans="2:11" ht="17.25">
      <c r="B144" s="135" t="s">
        <v>142</v>
      </c>
      <c r="C144">
        <v>1</v>
      </c>
      <c r="D144">
        <v>0.470189755320469</v>
      </c>
      <c r="E144">
        <v>0.889670511741394</v>
      </c>
      <c r="F144">
        <v>0.828535750242007</v>
      </c>
      <c r="G144">
        <v>0.447651462936032</v>
      </c>
      <c r="H144">
        <v>0.674267573806418</v>
      </c>
      <c r="I144">
        <v>-0.361696022433619</v>
      </c>
      <c r="J144">
        <v>-0.467833764688915</v>
      </c>
      <c r="K144">
        <v>0.628832514785343</v>
      </c>
    </row>
    <row r="145" spans="2:11" ht="17.25">
      <c r="B145" s="135" t="s">
        <v>164</v>
      </c>
      <c r="C145">
        <v>0.470189755320469</v>
      </c>
      <c r="D145">
        <v>1</v>
      </c>
      <c r="E145">
        <v>0.435619307692836</v>
      </c>
      <c r="F145">
        <v>0.204782269696135</v>
      </c>
      <c r="G145">
        <v>-0.077494554507393</v>
      </c>
      <c r="H145">
        <v>0.192739224117699</v>
      </c>
      <c r="I145">
        <v>-0.24015950866071</v>
      </c>
      <c r="J145">
        <v>-0.386858751190225</v>
      </c>
      <c r="K145">
        <v>0.144785974553271</v>
      </c>
    </row>
    <row r="146" spans="2:11" ht="17.25">
      <c r="B146" s="135" t="s">
        <v>143</v>
      </c>
      <c r="C146">
        <v>0.889670511741394</v>
      </c>
      <c r="D146">
        <v>0.435619307692836</v>
      </c>
      <c r="E146">
        <v>1</v>
      </c>
      <c r="F146">
        <v>0.961817783183908</v>
      </c>
      <c r="G146">
        <v>0.5750287480112</v>
      </c>
      <c r="H146">
        <v>0.659726993190438</v>
      </c>
      <c r="I146">
        <v>-0.295220948261616</v>
      </c>
      <c r="J146">
        <v>-0.416891423633944</v>
      </c>
      <c r="K146">
        <v>0.516863331953786</v>
      </c>
    </row>
    <row r="147" spans="2:11" ht="17.25">
      <c r="B147" s="135" t="s">
        <v>144</v>
      </c>
      <c r="C147">
        <v>0.828535750242007</v>
      </c>
      <c r="D147">
        <v>0.204782269696135</v>
      </c>
      <c r="E147">
        <v>0.961817783183908</v>
      </c>
      <c r="F147">
        <v>1</v>
      </c>
      <c r="G147">
        <v>0.5939174145085</v>
      </c>
      <c r="H147">
        <v>0.645589968400887</v>
      </c>
      <c r="I147">
        <v>-0.263229760451138</v>
      </c>
      <c r="J147">
        <v>-0.393094558041197</v>
      </c>
      <c r="K147">
        <v>0.537111024339579</v>
      </c>
    </row>
    <row r="148" spans="2:11" ht="17.25">
      <c r="B148" s="135" t="s">
        <v>145</v>
      </c>
      <c r="C148">
        <v>0.447651462936032</v>
      </c>
      <c r="D148">
        <v>-0.077494554507393</v>
      </c>
      <c r="E148">
        <v>0.5750287480112</v>
      </c>
      <c r="F148">
        <v>0.5939174145085</v>
      </c>
      <c r="G148">
        <v>1</v>
      </c>
      <c r="H148">
        <v>0.590459325812249</v>
      </c>
      <c r="I148">
        <v>0.355960664252228</v>
      </c>
      <c r="J148">
        <v>0.160259331848911</v>
      </c>
      <c r="K148">
        <v>-0.005511655985606</v>
      </c>
    </row>
    <row r="149" spans="2:11" ht="17.25">
      <c r="B149" s="135" t="s">
        <v>146</v>
      </c>
      <c r="C149">
        <v>0.674267573806418</v>
      </c>
      <c r="D149">
        <v>0.192739224117699</v>
      </c>
      <c r="E149">
        <v>0.659726993190438</v>
      </c>
      <c r="F149">
        <v>0.645589968400887</v>
      </c>
      <c r="G149">
        <v>0.590459325812249</v>
      </c>
      <c r="H149">
        <v>1</v>
      </c>
      <c r="I149">
        <v>-0.039748030142981</v>
      </c>
      <c r="J149">
        <v>-0.077976341815703</v>
      </c>
      <c r="K149">
        <v>0.091773256636556</v>
      </c>
    </row>
    <row r="150" spans="2:11" ht="17.25">
      <c r="B150" s="135" t="s">
        <v>165</v>
      </c>
      <c r="C150">
        <v>-0.361696022433619</v>
      </c>
      <c r="D150">
        <v>-0.24015950866071</v>
      </c>
      <c r="E150">
        <v>-0.295220948261616</v>
      </c>
      <c r="F150">
        <v>-0.263229760451138</v>
      </c>
      <c r="G150">
        <v>0.355960664252228</v>
      </c>
      <c r="H150">
        <v>-0.039748030142981</v>
      </c>
      <c r="I150">
        <v>1</v>
      </c>
      <c r="J150">
        <v>0.741692319313963</v>
      </c>
      <c r="K150">
        <v>-0.721522373200695</v>
      </c>
    </row>
    <row r="151" spans="2:11" ht="17.25">
      <c r="B151" s="135" t="s">
        <v>754</v>
      </c>
      <c r="C151">
        <v>-0.467833764688915</v>
      </c>
      <c r="D151">
        <v>-0.386858751190225</v>
      </c>
      <c r="E151">
        <v>-0.416891423633944</v>
      </c>
      <c r="F151">
        <v>-0.393094558041197</v>
      </c>
      <c r="G151">
        <v>0.160259331848911</v>
      </c>
      <c r="H151">
        <v>-0.077976341815703</v>
      </c>
      <c r="I151">
        <v>0.741692319313963</v>
      </c>
      <c r="J151">
        <v>1</v>
      </c>
      <c r="K151">
        <v>-0.753399570994267</v>
      </c>
    </row>
    <row r="152" spans="2:11" ht="17.25">
      <c r="B152" s="135" t="s">
        <v>743</v>
      </c>
      <c r="C152">
        <v>0.628832514785343</v>
      </c>
      <c r="D152">
        <v>0.144785974553271</v>
      </c>
      <c r="E152">
        <v>0.516863331953786</v>
      </c>
      <c r="F152">
        <v>0.537111024339579</v>
      </c>
      <c r="G152">
        <v>-0.005511655985606</v>
      </c>
      <c r="H152">
        <v>0.091773256636556</v>
      </c>
      <c r="I152">
        <v>-0.721522373200695</v>
      </c>
      <c r="J152">
        <v>-0.753399570994267</v>
      </c>
      <c r="K152">
        <v>1</v>
      </c>
    </row>
    <row r="154" spans="2:11" ht="17.25">
      <c r="B154" t="s">
        <v>749</v>
      </c>
      <c r="C154" s="135" t="s">
        <v>142</v>
      </c>
      <c r="D154" s="135" t="s">
        <v>164</v>
      </c>
      <c r="E154" s="135" t="s">
        <v>143</v>
      </c>
      <c r="F154" s="135" t="s">
        <v>144</v>
      </c>
      <c r="G154" s="135" t="s">
        <v>145</v>
      </c>
      <c r="H154" s="135" t="s">
        <v>146</v>
      </c>
      <c r="I154" s="135" t="s">
        <v>165</v>
      </c>
      <c r="J154" s="135" t="s">
        <v>754</v>
      </c>
      <c r="K154" s="135" t="s">
        <v>743</v>
      </c>
    </row>
    <row r="155" spans="2:11" ht="17.25">
      <c r="B155" s="135" t="s">
        <v>142</v>
      </c>
      <c r="C155">
        <v>1</v>
      </c>
      <c r="D155">
        <v>0.020419013411329</v>
      </c>
      <c r="E155">
        <v>6.050173E-09</v>
      </c>
      <c r="F155">
        <v>5.73585392E-07</v>
      </c>
      <c r="G155">
        <v>0.028270463389907</v>
      </c>
      <c r="H155">
        <v>0.000302593593262</v>
      </c>
      <c r="I155">
        <v>0.082439485775548</v>
      </c>
      <c r="J155">
        <v>0.021145962072479</v>
      </c>
      <c r="K155">
        <v>0.000997041078021</v>
      </c>
    </row>
    <row r="156" spans="2:11" ht="17.25">
      <c r="B156" s="135" t="s">
        <v>164</v>
      </c>
      <c r="C156">
        <v>0.020419013411329</v>
      </c>
      <c r="D156">
        <v>1</v>
      </c>
      <c r="E156">
        <v>0.033358067342301</v>
      </c>
      <c r="F156">
        <v>0.337108912253237</v>
      </c>
      <c r="G156">
        <v>0.718907409600391</v>
      </c>
      <c r="H156">
        <v>0.366886353936314</v>
      </c>
      <c r="I156">
        <v>0.258320269876114</v>
      </c>
      <c r="J156">
        <v>0.061830696244902</v>
      </c>
      <c r="K156">
        <v>0.49967017944882</v>
      </c>
    </row>
    <row r="157" spans="2:11" ht="17.25">
      <c r="B157" s="135" t="s">
        <v>143</v>
      </c>
      <c r="C157">
        <v>6.050173E-09</v>
      </c>
      <c r="D157">
        <v>0.033358067342301</v>
      </c>
      <c r="E157">
        <v>1</v>
      </c>
      <c r="F157">
        <v>7.3E-14</v>
      </c>
      <c r="G157">
        <v>0.003287857876474</v>
      </c>
      <c r="H157">
        <v>0.000452725809709</v>
      </c>
      <c r="I157">
        <v>0.161358048305439</v>
      </c>
      <c r="J157">
        <v>0.042697713173344</v>
      </c>
      <c r="K157">
        <v>0.009704997281663</v>
      </c>
    </row>
    <row r="158" spans="2:11" ht="17.25">
      <c r="B158" s="135" t="s">
        <v>144</v>
      </c>
      <c r="C158">
        <v>5.73585392E-07</v>
      </c>
      <c r="D158">
        <v>0.337108912253237</v>
      </c>
      <c r="E158">
        <v>7.3E-14</v>
      </c>
      <c r="F158">
        <v>1</v>
      </c>
      <c r="G158">
        <v>0.002214134803636</v>
      </c>
      <c r="H158">
        <v>0.000656678231734</v>
      </c>
      <c r="I158">
        <v>0.213950475914886</v>
      </c>
      <c r="J158">
        <v>0.057397803860413</v>
      </c>
      <c r="K158">
        <v>0.006801702941776</v>
      </c>
    </row>
    <row r="159" spans="2:11" ht="17.25">
      <c r="B159" s="135" t="s">
        <v>145</v>
      </c>
      <c r="C159">
        <v>0.028270463389907</v>
      </c>
      <c r="D159">
        <v>0.718907409600391</v>
      </c>
      <c r="E159">
        <v>0.003287857876474</v>
      </c>
      <c r="F159">
        <v>0.002214134803636</v>
      </c>
      <c r="G159">
        <v>1</v>
      </c>
      <c r="H159">
        <v>0.002384606675668</v>
      </c>
      <c r="I159">
        <v>0.087787472138651</v>
      </c>
      <c r="J159">
        <v>0.454429669448205</v>
      </c>
      <c r="K159">
        <v>0.979608176677076</v>
      </c>
    </row>
    <row r="160" spans="2:11" ht="17.25">
      <c r="B160" s="135" t="s">
        <v>146</v>
      </c>
      <c r="C160">
        <v>0.000302593593262</v>
      </c>
      <c r="D160">
        <v>0.366886353936314</v>
      </c>
      <c r="E160">
        <v>0.000452725809709</v>
      </c>
      <c r="F160">
        <v>0.000656678231734</v>
      </c>
      <c r="G160">
        <v>0.002384606675668</v>
      </c>
      <c r="H160">
        <v>1</v>
      </c>
      <c r="I160">
        <v>0.853698044907953</v>
      </c>
      <c r="J160">
        <v>0.71722957149717</v>
      </c>
      <c r="K160">
        <v>0.669746265225617</v>
      </c>
    </row>
    <row r="161" spans="2:11" ht="17.25">
      <c r="B161" s="135" t="s">
        <v>165</v>
      </c>
      <c r="C161">
        <v>0.082439485775548</v>
      </c>
      <c r="D161">
        <v>0.258320269876114</v>
      </c>
      <c r="E161">
        <v>0.161358048305439</v>
      </c>
      <c r="F161">
        <v>0.213950475914886</v>
      </c>
      <c r="G161">
        <v>0.087787472138651</v>
      </c>
      <c r="H161">
        <v>0.853698044907953</v>
      </c>
      <c r="I161">
        <v>1</v>
      </c>
      <c r="J161">
        <v>3.3571938184E-05</v>
      </c>
      <c r="K161">
        <v>6.9162998321E-05</v>
      </c>
    </row>
    <row r="162" spans="2:11" ht="17.25">
      <c r="B162" s="135" t="s">
        <v>754</v>
      </c>
      <c r="C162">
        <v>0.021145962072479</v>
      </c>
      <c r="D162">
        <v>0.061830696244902</v>
      </c>
      <c r="E162">
        <v>0.042697713173344</v>
      </c>
      <c r="F162">
        <v>0.057397803860413</v>
      </c>
      <c r="G162">
        <v>0.454429669448205</v>
      </c>
      <c r="H162">
        <v>0.71722957149717</v>
      </c>
      <c r="I162">
        <v>3.3571938184E-05</v>
      </c>
      <c r="J162">
        <v>1</v>
      </c>
      <c r="K162">
        <v>2.1403677308E-05</v>
      </c>
    </row>
    <row r="163" spans="2:11" ht="17.25">
      <c r="B163" s="135" t="s">
        <v>743</v>
      </c>
      <c r="C163">
        <v>0.000997041078021</v>
      </c>
      <c r="D163">
        <v>0.49967017944882</v>
      </c>
      <c r="E163">
        <v>0.009704997281663</v>
      </c>
      <c r="F163">
        <v>0.006801702941776</v>
      </c>
      <c r="G163">
        <v>0.979608176677076</v>
      </c>
      <c r="H163">
        <v>0.669746265225617</v>
      </c>
      <c r="I163">
        <v>6.9162998321E-05</v>
      </c>
      <c r="J163">
        <v>2.1403677308E-05</v>
      </c>
      <c r="K163">
        <v>1</v>
      </c>
    </row>
    <row r="165" spans="2:11" ht="17.25">
      <c r="B165" t="s">
        <v>750</v>
      </c>
      <c r="C165" s="135" t="s">
        <v>142</v>
      </c>
      <c r="D165" s="135" t="s">
        <v>164</v>
      </c>
      <c r="E165" s="135" t="s">
        <v>143</v>
      </c>
      <c r="F165" s="135" t="s">
        <v>144</v>
      </c>
      <c r="G165" s="135" t="s">
        <v>145</v>
      </c>
      <c r="H165" s="135" t="s">
        <v>146</v>
      </c>
      <c r="I165" s="135" t="s">
        <v>165</v>
      </c>
      <c r="J165" s="135" t="s">
        <v>754</v>
      </c>
      <c r="K165" s="135" t="s">
        <v>743</v>
      </c>
    </row>
    <row r="166" spans="2:11" ht="17.25">
      <c r="B166" s="135" t="s">
        <v>142</v>
      </c>
      <c r="C166">
        <v>1</v>
      </c>
      <c r="D166">
        <v>0.64341289827925</v>
      </c>
      <c r="E166">
        <v>0.890687505697269</v>
      </c>
      <c r="F166">
        <v>0.706240165637146</v>
      </c>
      <c r="G166">
        <v>0.303823523234203</v>
      </c>
      <c r="H166">
        <v>0.689608066651724</v>
      </c>
      <c r="I166">
        <v>-0.353005891332392</v>
      </c>
      <c r="J166">
        <v>-0.479582900085378</v>
      </c>
      <c r="K166">
        <v>0.666606657832013</v>
      </c>
    </row>
    <row r="167" spans="2:11" ht="17.25">
      <c r="B167" s="135" t="s">
        <v>164</v>
      </c>
      <c r="C167">
        <v>0.64341289827925</v>
      </c>
      <c r="D167">
        <v>1</v>
      </c>
      <c r="E167">
        <v>0.725310514533639</v>
      </c>
      <c r="F167">
        <v>0.208986180329586</v>
      </c>
      <c r="G167">
        <v>0.08947148004339</v>
      </c>
      <c r="H167">
        <v>0.413358129603846</v>
      </c>
      <c r="I167">
        <v>-0.192613105873166</v>
      </c>
      <c r="J167">
        <v>-0.376522270835612</v>
      </c>
      <c r="K167">
        <v>0.264446536187498</v>
      </c>
    </row>
    <row r="168" spans="2:11" ht="17.25">
      <c r="B168" s="135" t="s">
        <v>143</v>
      </c>
      <c r="C168">
        <v>0.890687505697269</v>
      </c>
      <c r="D168">
        <v>0.725310514533639</v>
      </c>
      <c r="E168">
        <v>1</v>
      </c>
      <c r="F168">
        <v>0.807290200385657</v>
      </c>
      <c r="G168">
        <v>0.318580084290431</v>
      </c>
      <c r="H168">
        <v>0.607681104347705</v>
      </c>
      <c r="I168">
        <v>-0.183134403352928</v>
      </c>
      <c r="J168">
        <v>-0.336303635661096</v>
      </c>
      <c r="K168">
        <v>0.455153474772732</v>
      </c>
    </row>
    <row r="169" spans="2:11" ht="17.25">
      <c r="B169" s="135" t="s">
        <v>144</v>
      </c>
      <c r="C169">
        <v>0.706240165637146</v>
      </c>
      <c r="D169">
        <v>0.208986180329586</v>
      </c>
      <c r="E169">
        <v>0.807290200385657</v>
      </c>
      <c r="F169">
        <v>1</v>
      </c>
      <c r="G169">
        <v>0.246266595737502</v>
      </c>
      <c r="H169">
        <v>0.462827422895182</v>
      </c>
      <c r="I169">
        <v>-0.114046495766958</v>
      </c>
      <c r="J169">
        <v>-0.199961631013735</v>
      </c>
      <c r="K169">
        <v>0.41371921129459</v>
      </c>
    </row>
    <row r="170" spans="2:11" ht="17.25">
      <c r="B170" s="135" t="s">
        <v>145</v>
      </c>
      <c r="C170">
        <v>0.303823523234203</v>
      </c>
      <c r="D170">
        <v>0.08947148004339</v>
      </c>
      <c r="E170">
        <v>0.318580084290431</v>
      </c>
      <c r="F170">
        <v>0.246266595737502</v>
      </c>
      <c r="G170">
        <v>1</v>
      </c>
      <c r="H170">
        <v>0.561440915319019</v>
      </c>
      <c r="I170">
        <v>0.384234488014043</v>
      </c>
      <c r="J170">
        <v>0.170614829469772</v>
      </c>
      <c r="K170">
        <v>-0.009252867689499</v>
      </c>
    </row>
    <row r="171" spans="2:11" ht="17.25">
      <c r="B171" s="135" t="s">
        <v>146</v>
      </c>
      <c r="C171">
        <v>0.689608066651724</v>
      </c>
      <c r="D171">
        <v>0.413358129603846</v>
      </c>
      <c r="E171">
        <v>0.607681104347705</v>
      </c>
      <c r="F171">
        <v>0.462827422895182</v>
      </c>
      <c r="G171">
        <v>0.561440915319019</v>
      </c>
      <c r="H171">
        <v>1</v>
      </c>
      <c r="I171">
        <v>-0.005769274460201</v>
      </c>
      <c r="J171">
        <v>-0.065407572401932</v>
      </c>
      <c r="K171">
        <v>0.194826376077926</v>
      </c>
    </row>
    <row r="172" spans="2:11" ht="17.25">
      <c r="B172" s="135" t="s">
        <v>165</v>
      </c>
      <c r="C172">
        <v>-0.353005891332392</v>
      </c>
      <c r="D172">
        <v>-0.192613105873166</v>
      </c>
      <c r="E172">
        <v>-0.183134403352928</v>
      </c>
      <c r="F172">
        <v>-0.114046495766958</v>
      </c>
      <c r="G172">
        <v>0.384234488014043</v>
      </c>
      <c r="H172">
        <v>-0.005769274460201</v>
      </c>
      <c r="I172">
        <v>1</v>
      </c>
      <c r="J172">
        <v>0.559609274425137</v>
      </c>
      <c r="K172">
        <v>-0.431880525231613</v>
      </c>
    </row>
    <row r="173" spans="2:11" ht="17.25">
      <c r="B173" s="135" t="s">
        <v>754</v>
      </c>
      <c r="C173">
        <v>-0.479582900085378</v>
      </c>
      <c r="D173">
        <v>-0.376522270835612</v>
      </c>
      <c r="E173">
        <v>-0.336303635661096</v>
      </c>
      <c r="F173">
        <v>-0.199961631013735</v>
      </c>
      <c r="G173">
        <v>0.170614829469772</v>
      </c>
      <c r="H173">
        <v>-0.065407572401932</v>
      </c>
      <c r="I173">
        <v>0.559609274425137</v>
      </c>
      <c r="J173">
        <v>1</v>
      </c>
      <c r="K173">
        <v>-0.69773585415508</v>
      </c>
    </row>
    <row r="174" spans="2:11" ht="17.25">
      <c r="B174" s="135" t="s">
        <v>743</v>
      </c>
      <c r="C174">
        <v>0.666606657832013</v>
      </c>
      <c r="D174">
        <v>0.264446536187498</v>
      </c>
      <c r="E174">
        <v>0.455153474772732</v>
      </c>
      <c r="F174">
        <v>0.41371921129459</v>
      </c>
      <c r="G174">
        <v>-0.009252867689499</v>
      </c>
      <c r="H174">
        <v>0.194826376077926</v>
      </c>
      <c r="I174">
        <v>-0.431880525231613</v>
      </c>
      <c r="J174">
        <v>-0.69773585415508</v>
      </c>
      <c r="K174">
        <v>1</v>
      </c>
    </row>
    <row r="176" spans="2:11" ht="17.25">
      <c r="B176" t="s">
        <v>751</v>
      </c>
      <c r="C176" s="135" t="s">
        <v>142</v>
      </c>
      <c r="D176" s="135" t="s">
        <v>164</v>
      </c>
      <c r="E176" s="135" t="s">
        <v>143</v>
      </c>
      <c r="F176" s="135" t="s">
        <v>144</v>
      </c>
      <c r="G176" s="135" t="s">
        <v>145</v>
      </c>
      <c r="H176" s="135" t="s">
        <v>146</v>
      </c>
      <c r="I176" s="135" t="s">
        <v>165</v>
      </c>
      <c r="J176" s="135" t="s">
        <v>754</v>
      </c>
      <c r="K176" s="135" t="s">
        <v>743</v>
      </c>
    </row>
    <row r="177" spans="2:11" ht="17.25">
      <c r="B177" s="135" t="s">
        <v>142</v>
      </c>
      <c r="C177">
        <v>1</v>
      </c>
      <c r="D177">
        <v>0.000694248651205</v>
      </c>
      <c r="E177">
        <v>5.491007E-09</v>
      </c>
      <c r="F177">
        <v>0.000114947474195</v>
      </c>
      <c r="G177">
        <v>0.148922931869673</v>
      </c>
      <c r="H177">
        <v>0.000193045703902</v>
      </c>
      <c r="I177">
        <v>0.090642163931203</v>
      </c>
      <c r="J177">
        <v>0.01771926972731</v>
      </c>
      <c r="K177">
        <v>0.000375155903202</v>
      </c>
    </row>
    <row r="178" spans="2:11" ht="17.25">
      <c r="B178" s="135" t="s">
        <v>164</v>
      </c>
      <c r="C178">
        <v>0.000694248651205</v>
      </c>
      <c r="D178">
        <v>1</v>
      </c>
      <c r="E178">
        <v>6.0670912484E-05</v>
      </c>
      <c r="F178">
        <v>0.327065250191459</v>
      </c>
      <c r="G178">
        <v>0.677588974902435</v>
      </c>
      <c r="H178">
        <v>0.044670100942179</v>
      </c>
      <c r="I178">
        <v>0.367206021812231</v>
      </c>
      <c r="J178">
        <v>0.069752993531487</v>
      </c>
      <c r="K178">
        <v>0.211762329602456</v>
      </c>
    </row>
    <row r="179" spans="2:11" ht="17.25">
      <c r="B179" s="135" t="s">
        <v>143</v>
      </c>
      <c r="C179">
        <v>5.491007E-09</v>
      </c>
      <c r="D179">
        <v>6.0670912484E-05</v>
      </c>
      <c r="E179">
        <v>1</v>
      </c>
      <c r="F179">
        <v>1.865486606E-06</v>
      </c>
      <c r="G179">
        <v>0.129203262947598</v>
      </c>
      <c r="H179">
        <v>0.001634415859549</v>
      </c>
      <c r="I179">
        <v>0.391690657429374</v>
      </c>
      <c r="J179">
        <v>0.108099011529659</v>
      </c>
      <c r="K179">
        <v>0.02542662454282</v>
      </c>
    </row>
    <row r="180" spans="2:11" ht="17.25">
      <c r="B180" s="135" t="s">
        <v>144</v>
      </c>
      <c r="C180">
        <v>0.000114947474195</v>
      </c>
      <c r="D180">
        <v>0.327065250191459</v>
      </c>
      <c r="E180">
        <v>1.865486606E-06</v>
      </c>
      <c r="F180">
        <v>1</v>
      </c>
      <c r="G180">
        <v>0.246038926424267</v>
      </c>
      <c r="H180">
        <v>0.022760298180338</v>
      </c>
      <c r="I180">
        <v>0.595680785901142</v>
      </c>
      <c r="J180">
        <v>0.348850126921676</v>
      </c>
      <c r="K180">
        <v>0.044465317753456</v>
      </c>
    </row>
    <row r="181" spans="2:11" ht="17.25">
      <c r="B181" s="135" t="s">
        <v>145</v>
      </c>
      <c r="C181">
        <v>0.148922931869673</v>
      </c>
      <c r="D181">
        <v>0.677588974902435</v>
      </c>
      <c r="E181">
        <v>0.129203262947598</v>
      </c>
      <c r="F181">
        <v>0.246038926424267</v>
      </c>
      <c r="G181">
        <v>1</v>
      </c>
      <c r="H181">
        <v>0.004308099172751</v>
      </c>
      <c r="I181">
        <v>0.063773068211457</v>
      </c>
      <c r="J181">
        <v>0.425399579648056</v>
      </c>
      <c r="K181">
        <v>0.965772880244464</v>
      </c>
    </row>
    <row r="182" spans="2:11" ht="17.25">
      <c r="B182" s="135" t="s">
        <v>146</v>
      </c>
      <c r="C182">
        <v>0.000193045703902</v>
      </c>
      <c r="D182">
        <v>0.044670100942179</v>
      </c>
      <c r="E182">
        <v>0.001634415859549</v>
      </c>
      <c r="F182">
        <v>0.022760298180338</v>
      </c>
      <c r="G182">
        <v>0.004308099172751</v>
      </c>
      <c r="H182">
        <v>1</v>
      </c>
      <c r="I182">
        <v>0.978655256022024</v>
      </c>
      <c r="J182">
        <v>0.761394691583784</v>
      </c>
      <c r="K182">
        <v>0.361619572693288</v>
      </c>
    </row>
    <row r="183" spans="2:11" ht="17.25">
      <c r="B183" s="135" t="s">
        <v>165</v>
      </c>
      <c r="C183">
        <v>0.090642163931203</v>
      </c>
      <c r="D183">
        <v>0.367206021812231</v>
      </c>
      <c r="E183">
        <v>0.391690657429374</v>
      </c>
      <c r="F183">
        <v>0.595680785901142</v>
      </c>
      <c r="G183">
        <v>0.063773068211457</v>
      </c>
      <c r="H183">
        <v>0.978655256022024</v>
      </c>
      <c r="I183">
        <v>1</v>
      </c>
      <c r="J183">
        <v>0.004464097331662</v>
      </c>
      <c r="K183">
        <v>0.035079082665045</v>
      </c>
    </row>
    <row r="184" spans="2:11" ht="17.25">
      <c r="B184" s="135" t="s">
        <v>754</v>
      </c>
      <c r="C184">
        <v>0.01771926972731</v>
      </c>
      <c r="D184">
        <v>0.069752993531487</v>
      </c>
      <c r="E184">
        <v>0.108099011529659</v>
      </c>
      <c r="F184">
        <v>0.348850126921676</v>
      </c>
      <c r="G184">
        <v>0.425399579648056</v>
      </c>
      <c r="H184">
        <v>0.761394691583784</v>
      </c>
      <c r="I184">
        <v>0.004464097331662</v>
      </c>
      <c r="J184">
        <v>1</v>
      </c>
      <c r="K184">
        <v>0.000150478656852</v>
      </c>
    </row>
    <row r="185" spans="2:11" ht="17.25">
      <c r="B185" s="135" t="s">
        <v>743</v>
      </c>
      <c r="C185">
        <v>0.000375155903202</v>
      </c>
      <c r="D185">
        <v>0.211762329602456</v>
      </c>
      <c r="E185">
        <v>0.02542662454282</v>
      </c>
      <c r="F185">
        <v>0.044465317753456</v>
      </c>
      <c r="G185">
        <v>0.965772880244464</v>
      </c>
      <c r="H185">
        <v>0.361619572693288</v>
      </c>
      <c r="I185">
        <v>0.035079082665045</v>
      </c>
      <c r="J185">
        <v>0.000150478656852</v>
      </c>
      <c r="K185">
        <v>1</v>
      </c>
    </row>
    <row r="187" spans="2:11" ht="17.25">
      <c r="B187" t="s">
        <v>752</v>
      </c>
      <c r="C187" s="135" t="s">
        <v>142</v>
      </c>
      <c r="D187" s="135" t="s">
        <v>164</v>
      </c>
      <c r="E187" s="135" t="s">
        <v>143</v>
      </c>
      <c r="F187" s="135" t="s">
        <v>144</v>
      </c>
      <c r="G187" s="135" t="s">
        <v>145</v>
      </c>
      <c r="H187" s="135" t="s">
        <v>146</v>
      </c>
      <c r="I187" s="135" t="s">
        <v>165</v>
      </c>
      <c r="J187" s="135" t="s">
        <v>754</v>
      </c>
      <c r="K187" s="135" t="s">
        <v>743</v>
      </c>
    </row>
    <row r="188" spans="2:11" ht="17.25">
      <c r="B188" s="135" t="s">
        <v>142</v>
      </c>
      <c r="C188">
        <v>1</v>
      </c>
      <c r="D188">
        <v>0.445453109483371</v>
      </c>
      <c r="E188">
        <v>0.790495209550591</v>
      </c>
      <c r="F188">
        <v>0.806029335333616</v>
      </c>
      <c r="G188">
        <v>-0.187508871272626</v>
      </c>
      <c r="H188">
        <v>0.228545670350809</v>
      </c>
      <c r="I188">
        <v>-0.060785626899476</v>
      </c>
      <c r="J188">
        <v>0.159795882595776</v>
      </c>
      <c r="K188">
        <v>0.400967762123635</v>
      </c>
    </row>
    <row r="189" spans="2:11" ht="17.25">
      <c r="B189" s="135" t="s">
        <v>164</v>
      </c>
      <c r="C189">
        <v>0.445453109483371</v>
      </c>
      <c r="D189">
        <v>1</v>
      </c>
      <c r="E189">
        <v>0.699986375327267</v>
      </c>
      <c r="F189">
        <v>0.325323699865352</v>
      </c>
      <c r="G189">
        <v>-0.180278385308474</v>
      </c>
      <c r="H189">
        <v>0.285052608132448</v>
      </c>
      <c r="I189">
        <v>-0.236912461606526</v>
      </c>
      <c r="J189">
        <v>0.170383304814488</v>
      </c>
      <c r="K189">
        <v>0.258746885502498</v>
      </c>
    </row>
    <row r="190" spans="2:11" ht="17.25">
      <c r="B190" s="135" t="s">
        <v>143</v>
      </c>
      <c r="C190">
        <v>0.790495209550591</v>
      </c>
      <c r="D190">
        <v>0.699986375327267</v>
      </c>
      <c r="E190">
        <v>1</v>
      </c>
      <c r="F190">
        <v>0.887485400437496</v>
      </c>
      <c r="G190">
        <v>-0.027319630232957</v>
      </c>
      <c r="H190">
        <v>0.295222235385929</v>
      </c>
      <c r="I190">
        <v>0.003947194089958</v>
      </c>
      <c r="J190">
        <v>0.270418095709299</v>
      </c>
      <c r="K190">
        <v>0.409289430908392</v>
      </c>
    </row>
    <row r="191" spans="2:11" ht="17.25">
      <c r="B191" s="135" t="s">
        <v>144</v>
      </c>
      <c r="C191">
        <v>0.806029335333616</v>
      </c>
      <c r="D191">
        <v>0.325323699865352</v>
      </c>
      <c r="E191">
        <v>0.887485400437496</v>
      </c>
      <c r="F191">
        <v>1</v>
      </c>
      <c r="G191">
        <v>-0.114654444495716</v>
      </c>
      <c r="H191">
        <v>0.152242762475271</v>
      </c>
      <c r="I191">
        <v>0.046353529925986</v>
      </c>
      <c r="J191">
        <v>0.169403266165274</v>
      </c>
      <c r="K191">
        <v>0.483635640678067</v>
      </c>
    </row>
    <row r="192" spans="2:11" ht="17.25">
      <c r="B192" s="135" t="s">
        <v>145</v>
      </c>
      <c r="C192">
        <v>-0.187508871272626</v>
      </c>
      <c r="D192">
        <v>-0.180278385308474</v>
      </c>
      <c r="E192">
        <v>-0.027319630232957</v>
      </c>
      <c r="F192">
        <v>-0.114654444495716</v>
      </c>
      <c r="G192">
        <v>1</v>
      </c>
      <c r="H192">
        <v>0.280618847309146</v>
      </c>
      <c r="I192">
        <v>0.300619809614358</v>
      </c>
      <c r="J192">
        <v>0.145609415235796</v>
      </c>
      <c r="K192">
        <v>-0.489641695522107</v>
      </c>
    </row>
    <row r="193" spans="2:11" ht="17.25">
      <c r="B193" s="135" t="s">
        <v>146</v>
      </c>
      <c r="C193">
        <v>0.228545670350809</v>
      </c>
      <c r="D193">
        <v>0.285052608132448</v>
      </c>
      <c r="E193">
        <v>0.295222235385929</v>
      </c>
      <c r="F193">
        <v>0.152242762475271</v>
      </c>
      <c r="G193">
        <v>0.280618847309146</v>
      </c>
      <c r="H193">
        <v>1</v>
      </c>
      <c r="I193">
        <v>0.242387974988395</v>
      </c>
      <c r="J193">
        <v>0.114165762340054</v>
      </c>
      <c r="K193">
        <v>-0.187230400923308</v>
      </c>
    </row>
    <row r="194" spans="2:11" ht="17.25">
      <c r="B194" s="135" t="s">
        <v>165</v>
      </c>
      <c r="C194">
        <v>-0.060785626899476</v>
      </c>
      <c r="D194">
        <v>-0.236912461606526</v>
      </c>
      <c r="E194">
        <v>0.003947194089958</v>
      </c>
      <c r="F194">
        <v>0.046353529925986</v>
      </c>
      <c r="G194">
        <v>0.300619809614358</v>
      </c>
      <c r="H194">
        <v>0.242387974988395</v>
      </c>
      <c r="I194">
        <v>1</v>
      </c>
      <c r="J194">
        <v>0.749185459048446</v>
      </c>
      <c r="K194">
        <v>-0.226784372031935</v>
      </c>
    </row>
    <row r="195" spans="2:11" ht="17.25">
      <c r="B195" s="135" t="s">
        <v>754</v>
      </c>
      <c r="C195">
        <v>0.159795882595776</v>
      </c>
      <c r="D195">
        <v>0.170383304814488</v>
      </c>
      <c r="E195">
        <v>0.270418095709299</v>
      </c>
      <c r="F195">
        <v>0.169403266165274</v>
      </c>
      <c r="G195">
        <v>0.145609415235796</v>
      </c>
      <c r="H195">
        <v>0.114165762340054</v>
      </c>
      <c r="I195">
        <v>0.749185459048446</v>
      </c>
      <c r="J195">
        <v>1</v>
      </c>
      <c r="K195">
        <v>-0.079012236638814</v>
      </c>
    </row>
    <row r="196" spans="2:11" ht="17.25">
      <c r="B196" s="135" t="s">
        <v>743</v>
      </c>
      <c r="C196">
        <v>0.400967762123635</v>
      </c>
      <c r="D196">
        <v>0.258746885502498</v>
      </c>
      <c r="E196">
        <v>0.409289430908392</v>
      </c>
      <c r="F196">
        <v>0.483635640678067</v>
      </c>
      <c r="G196">
        <v>-0.489641695522107</v>
      </c>
      <c r="H196">
        <v>-0.187230400923308</v>
      </c>
      <c r="I196">
        <v>-0.226784372031935</v>
      </c>
      <c r="J196">
        <v>-0.079012236638814</v>
      </c>
      <c r="K196">
        <v>1</v>
      </c>
    </row>
    <row r="198" spans="2:11" ht="17.25">
      <c r="B198" t="s">
        <v>753</v>
      </c>
      <c r="C198" s="135" t="s">
        <v>142</v>
      </c>
      <c r="D198" s="135" t="s">
        <v>164</v>
      </c>
      <c r="E198" s="135" t="s">
        <v>143</v>
      </c>
      <c r="F198" s="135" t="s">
        <v>144</v>
      </c>
      <c r="G198" s="135" t="s">
        <v>145</v>
      </c>
      <c r="H198" s="135" t="s">
        <v>146</v>
      </c>
      <c r="I198" s="135" t="s">
        <v>165</v>
      </c>
      <c r="J198" s="135" t="s">
        <v>754</v>
      </c>
      <c r="K198" s="135" t="s">
        <v>743</v>
      </c>
    </row>
    <row r="199" spans="2:11" ht="17.25">
      <c r="B199" s="135" t="s">
        <v>142</v>
      </c>
      <c r="C199">
        <v>1</v>
      </c>
      <c r="D199">
        <v>0.029150357479285</v>
      </c>
      <c r="E199">
        <v>4.299636676E-06</v>
      </c>
      <c r="F199">
        <v>1.991647923E-06</v>
      </c>
      <c r="G199">
        <v>0.380278584736009</v>
      </c>
      <c r="H199">
        <v>0.282747632945255</v>
      </c>
      <c r="I199">
        <v>0.77782746970432</v>
      </c>
      <c r="J199">
        <v>0.455752649974313</v>
      </c>
      <c r="K199">
        <v>0.052156466288592</v>
      </c>
    </row>
    <row r="200" spans="2:11" ht="17.25">
      <c r="B200" s="135" t="s">
        <v>164</v>
      </c>
      <c r="C200">
        <v>0.029150357479285</v>
      </c>
      <c r="D200">
        <v>1</v>
      </c>
      <c r="E200">
        <v>0.000140250293125</v>
      </c>
      <c r="F200">
        <v>0.120849306894162</v>
      </c>
      <c r="G200">
        <v>0.399244451370927</v>
      </c>
      <c r="H200">
        <v>0.176975100184394</v>
      </c>
      <c r="I200">
        <v>0.265008127201043</v>
      </c>
      <c r="J200">
        <v>0.426037394571318</v>
      </c>
      <c r="K200">
        <v>0.222142678371191</v>
      </c>
    </row>
    <row r="201" spans="2:11" ht="17.25">
      <c r="B201" s="135" t="s">
        <v>143</v>
      </c>
      <c r="C201">
        <v>4.299636676E-06</v>
      </c>
      <c r="D201">
        <v>0.000140250293125</v>
      </c>
      <c r="E201">
        <v>1</v>
      </c>
      <c r="F201">
        <v>7.428328E-09</v>
      </c>
      <c r="G201">
        <v>0.899164579672888</v>
      </c>
      <c r="H201">
        <v>0.161356134908444</v>
      </c>
      <c r="I201">
        <v>0.985395595270596</v>
      </c>
      <c r="J201">
        <v>0.201241829171663</v>
      </c>
      <c r="K201">
        <v>0.047029080620904</v>
      </c>
    </row>
    <row r="202" spans="2:11" ht="17.25">
      <c r="B202" s="135" t="s">
        <v>144</v>
      </c>
      <c r="C202">
        <v>1.991647923E-06</v>
      </c>
      <c r="D202">
        <v>0.120849306894162</v>
      </c>
      <c r="E202">
        <v>7.428328E-09</v>
      </c>
      <c r="F202">
        <v>1</v>
      </c>
      <c r="G202">
        <v>0.59370871849785</v>
      </c>
      <c r="H202">
        <v>0.477595466408645</v>
      </c>
      <c r="I202">
        <v>0.829706855841172</v>
      </c>
      <c r="J202">
        <v>0.428742989153859</v>
      </c>
      <c r="K202">
        <v>0.016647971958706</v>
      </c>
    </row>
    <row r="203" spans="2:11" ht="17.25">
      <c r="B203" s="135" t="s">
        <v>145</v>
      </c>
      <c r="C203">
        <v>0.380278584736009</v>
      </c>
      <c r="D203">
        <v>0.399244451370927</v>
      </c>
      <c r="E203">
        <v>0.899164579672888</v>
      </c>
      <c r="F203">
        <v>0.59370871849785</v>
      </c>
      <c r="G203">
        <v>1</v>
      </c>
      <c r="H203">
        <v>0.184101849610034</v>
      </c>
      <c r="I203">
        <v>0.153471753418526</v>
      </c>
      <c r="J203">
        <v>0.497208045950138</v>
      </c>
      <c r="K203">
        <v>0.015158022845866</v>
      </c>
    </row>
    <row r="204" spans="2:11" ht="17.25">
      <c r="B204" s="135" t="s">
        <v>146</v>
      </c>
      <c r="C204">
        <v>0.282747632945255</v>
      </c>
      <c r="D204">
        <v>0.176975100184394</v>
      </c>
      <c r="E204">
        <v>0.161356134908444</v>
      </c>
      <c r="F204">
        <v>0.477595466408645</v>
      </c>
      <c r="G204">
        <v>0.184101849610034</v>
      </c>
      <c r="H204">
        <v>1</v>
      </c>
      <c r="I204">
        <v>0.253793889451956</v>
      </c>
      <c r="J204">
        <v>0.595293689374941</v>
      </c>
      <c r="K204">
        <v>0.380999338180902</v>
      </c>
    </row>
    <row r="205" spans="2:11" ht="17.25">
      <c r="B205" s="135" t="s">
        <v>165</v>
      </c>
      <c r="C205">
        <v>0.77782746970432</v>
      </c>
      <c r="D205">
        <v>0.265008127201043</v>
      </c>
      <c r="E205">
        <v>0.985395595270596</v>
      </c>
      <c r="F205">
        <v>0.829706855841172</v>
      </c>
      <c r="G205">
        <v>0.153471753418526</v>
      </c>
      <c r="H205">
        <v>0.253793889451956</v>
      </c>
      <c r="I205">
        <v>1</v>
      </c>
      <c r="J205">
        <v>2.523835465E-05</v>
      </c>
      <c r="K205">
        <v>0.286575058022069</v>
      </c>
    </row>
    <row r="206" spans="2:11" ht="17.25">
      <c r="B206" s="135" t="s">
        <v>754</v>
      </c>
      <c r="C206">
        <v>0.455752649974313</v>
      </c>
      <c r="D206">
        <v>0.426037394571318</v>
      </c>
      <c r="E206">
        <v>0.201241829171663</v>
      </c>
      <c r="F206">
        <v>0.428742989153859</v>
      </c>
      <c r="G206">
        <v>0.497208045950138</v>
      </c>
      <c r="H206">
        <v>0.595293689374941</v>
      </c>
      <c r="I206">
        <v>2.523835465E-05</v>
      </c>
      <c r="J206">
        <v>1</v>
      </c>
      <c r="K206">
        <v>0.713626340906779</v>
      </c>
    </row>
    <row r="207" spans="2:11" ht="17.25">
      <c r="B207" s="135" t="s">
        <v>743</v>
      </c>
      <c r="C207">
        <v>0.052156466288592</v>
      </c>
      <c r="D207">
        <v>0.222142678371191</v>
      </c>
      <c r="E207">
        <v>0.047029080620904</v>
      </c>
      <c r="F207">
        <v>0.016647971958706</v>
      </c>
      <c r="G207">
        <v>0.015158022845866</v>
      </c>
      <c r="H207">
        <v>0.380999338180902</v>
      </c>
      <c r="I207">
        <v>0.286575058022069</v>
      </c>
      <c r="J207">
        <v>0.713626340906779</v>
      </c>
      <c r="K207">
        <v>1</v>
      </c>
    </row>
    <row r="210" ht="12.75">
      <c r="C210" s="1"/>
    </row>
    <row r="213" spans="4:5" ht="12.75">
      <c r="D213" t="s">
        <v>756</v>
      </c>
      <c r="E213" t="s">
        <v>757</v>
      </c>
    </row>
    <row r="214" spans="3:7" ht="12.75">
      <c r="C214" t="s">
        <v>755</v>
      </c>
      <c r="D214" s="188">
        <v>0.409289431</v>
      </c>
      <c r="E214" s="188">
        <v>0.483635640678067</v>
      </c>
      <c r="F214" s="190">
        <v>0.047029081</v>
      </c>
      <c r="G214" s="190">
        <v>0.016647971958706</v>
      </c>
    </row>
    <row r="215" spans="3:7" ht="12.75">
      <c r="C215" t="s">
        <v>733</v>
      </c>
      <c r="D215" s="188">
        <v>0.455153475</v>
      </c>
      <c r="E215" s="188">
        <v>0.41371921129459</v>
      </c>
      <c r="F215" s="190">
        <v>0.025426625</v>
      </c>
      <c r="G215" s="190">
        <v>0.044465317753456</v>
      </c>
    </row>
    <row r="216" spans="3:7" ht="12.75">
      <c r="C216" t="s">
        <v>734</v>
      </c>
      <c r="D216" s="188">
        <v>0.516863332</v>
      </c>
      <c r="E216" s="188">
        <v>0.537111024339579</v>
      </c>
      <c r="F216" s="190">
        <v>0.009704997</v>
      </c>
      <c r="G216" s="190">
        <v>0.006801702941776</v>
      </c>
    </row>
    <row r="217" spans="3:7" ht="12.75">
      <c r="C217" t="s">
        <v>735</v>
      </c>
      <c r="D217" s="188">
        <v>0.324486903</v>
      </c>
      <c r="E217" s="188">
        <v>0.561113988322772</v>
      </c>
      <c r="F217" s="190">
        <v>0.121863997</v>
      </c>
      <c r="G217" s="190">
        <v>0.004335601507243</v>
      </c>
    </row>
    <row r="218" spans="3:7" ht="12.75">
      <c r="C218" t="s">
        <v>736</v>
      </c>
      <c r="D218" s="188">
        <v>0.484557364</v>
      </c>
      <c r="E218" s="188">
        <v>0.685109992591228</v>
      </c>
      <c r="F218" s="190">
        <v>0.016411855</v>
      </c>
      <c r="G218" s="190">
        <v>0.000220842086279</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Steinberg</dc:creator>
  <cp:keywords/>
  <dc:description/>
  <cp:lastModifiedBy>Peter Steinberg</cp:lastModifiedBy>
  <cp:lastPrinted>2007-06-06T23:53:37Z</cp:lastPrinted>
  <dcterms:created xsi:type="dcterms:W3CDTF">2007-04-28T15:58:03Z</dcterms:created>
  <dcterms:modified xsi:type="dcterms:W3CDTF">2007-09-17T03:36:42Z</dcterms:modified>
  <cp:category/>
  <cp:version/>
  <cp:contentType/>
  <cp:contentStatus/>
</cp:coreProperties>
</file>